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d.docs.live.net/aee21b4521b5e3d7/Documents/23 Individual Income Tax/IRS Required Minimum Distributions/RMD 73 starting 1-1-23/"/>
    </mc:Choice>
  </mc:AlternateContent>
  <xr:revisionPtr revIDLastSave="73" documentId="8_{0CE21005-3687-4ECD-9BDA-5D344D4F0C26}" xr6:coauthVersionLast="47" xr6:coauthVersionMax="47" xr10:uidLastSave="{9AB2804C-3412-4EC2-BBEB-7D6B8F01831D}"/>
  <bookViews>
    <workbookView xWindow="-90" yWindow="-90" windowWidth="19380" windowHeight="10260" xr2:uid="{00000000-000D-0000-FFFF-FFFF00000000}"/>
  </bookViews>
  <sheets>
    <sheet name="Sheet1" sheetId="1" r:id="rId1"/>
    <sheet name="Sheet2" sheetId="2" r:id="rId2"/>
    <sheet name="Sheet3" sheetId="3" r:id="rId3"/>
  </sheets>
  <definedNames>
    <definedName name="_xlnm.Print_Area" localSheetId="0">Sheet1!$A$1:$O$76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1" l="1"/>
  <c r="G28" i="1"/>
  <c r="I28" i="1"/>
  <c r="H28" i="1" l="1"/>
  <c r="J23" i="1" l="1"/>
  <c r="G23" i="1" s="1"/>
  <c r="I23" i="1" l="1"/>
  <c r="H23" i="1"/>
  <c r="I29" i="1" l="1"/>
  <c r="G29" i="1" l="1"/>
  <c r="J29" i="1" s="1"/>
  <c r="G30" i="1" l="1"/>
  <c r="H29" i="1"/>
  <c r="I30" i="1" l="1"/>
  <c r="J30" i="1" s="1"/>
  <c r="H30" i="1"/>
  <c r="I31" i="1" l="1"/>
  <c r="G31" i="1"/>
  <c r="H31" i="1" s="1"/>
  <c r="J31" i="1" l="1"/>
  <c r="I32" i="1" s="1"/>
  <c r="G32" i="1" l="1"/>
  <c r="H32" i="1" s="1"/>
  <c r="J32" i="1" l="1"/>
  <c r="I33" i="1" s="1"/>
  <c r="G33" i="1" l="1"/>
  <c r="H33" i="1" s="1"/>
  <c r="J33" i="1" l="1"/>
  <c r="G34" i="1" s="1"/>
  <c r="H34" i="1" s="1"/>
  <c r="I34" i="1" l="1"/>
  <c r="J34" i="1" s="1"/>
  <c r="I35" i="1" s="1"/>
  <c r="G35" i="1" l="1"/>
  <c r="H35" i="1" s="1"/>
  <c r="J35" i="1" l="1"/>
  <c r="G36" i="1" s="1"/>
  <c r="H36" i="1" l="1"/>
  <c r="I36" i="1"/>
  <c r="J36" i="1" s="1"/>
  <c r="I37" i="1" l="1"/>
  <c r="G37" i="1"/>
  <c r="H37" i="1" s="1"/>
  <c r="J37" i="1" l="1"/>
  <c r="I38" i="1" s="1"/>
  <c r="G38" i="1" l="1"/>
  <c r="J38" i="1" s="1"/>
  <c r="G39" i="1" l="1"/>
  <c r="H39" i="1" s="1"/>
  <c r="H38" i="1"/>
  <c r="I39" i="1" l="1"/>
  <c r="J39" i="1" s="1"/>
  <c r="G40" i="1" l="1"/>
  <c r="H40" i="1" s="1"/>
  <c r="I40" i="1"/>
  <c r="J40" i="1" l="1"/>
  <c r="G41" i="1" s="1"/>
  <c r="I41" i="1" l="1"/>
  <c r="J41" i="1" s="1"/>
  <c r="H41" i="1"/>
  <c r="I42" i="1" l="1"/>
  <c r="G42" i="1"/>
  <c r="H42" i="1" s="1"/>
  <c r="J42" i="1" l="1"/>
  <c r="I43" i="1" s="1"/>
  <c r="G43" i="1" l="1"/>
  <c r="H43" i="1" s="1"/>
  <c r="J43" i="1" l="1"/>
  <c r="G44" i="1" s="1"/>
  <c r="H44" i="1" s="1"/>
  <c r="I44" i="1" l="1"/>
  <c r="J44" i="1" s="1"/>
  <c r="G45" i="1" s="1"/>
  <c r="H45" i="1" s="1"/>
  <c r="I45" i="1" l="1"/>
  <c r="J45" i="1" s="1"/>
  <c r="I46" i="1" l="1"/>
  <c r="G46" i="1"/>
  <c r="H46" i="1" s="1"/>
  <c r="J46" i="1" l="1"/>
  <c r="G47" i="1" l="1"/>
  <c r="H47" i="1" s="1"/>
  <c r="I47" i="1"/>
  <c r="J47" i="1" l="1"/>
  <c r="G48" i="1" s="1"/>
  <c r="H48" i="1" s="1"/>
  <c r="I48" i="1" l="1"/>
  <c r="J48" i="1" s="1"/>
  <c r="G49" i="1" l="1"/>
  <c r="H49" i="1" s="1"/>
  <c r="I49" i="1"/>
  <c r="J49" i="1" l="1"/>
  <c r="I50" i="1" l="1"/>
  <c r="G50" i="1"/>
  <c r="H50" i="1" s="1"/>
  <c r="J50" i="1" l="1"/>
  <c r="I51" i="1" l="1"/>
  <c r="G51" i="1"/>
  <c r="H51" i="1" s="1"/>
  <c r="J51" i="1" l="1"/>
  <c r="G52" i="1" l="1"/>
  <c r="H52" i="1" s="1"/>
  <c r="I52" i="1"/>
  <c r="J52" i="1" l="1"/>
  <c r="I53" i="1" l="1"/>
  <c r="G53" i="1"/>
  <c r="H53" i="1" s="1"/>
  <c r="J53" i="1" l="1"/>
  <c r="G54" i="1" l="1"/>
  <c r="H54" i="1" s="1"/>
  <c r="I54" i="1"/>
  <c r="J54" i="1" l="1"/>
  <c r="I55" i="1" l="1"/>
  <c r="G55" i="1"/>
  <c r="H55" i="1" s="1"/>
  <c r="J55" i="1" l="1"/>
  <c r="I56" i="1" l="1"/>
  <c r="G56" i="1"/>
  <c r="H56" i="1" s="1"/>
  <c r="J56" i="1" l="1"/>
  <c r="G57" i="1" l="1"/>
  <c r="H57" i="1" s="1"/>
  <c r="I57" i="1"/>
  <c r="J57" i="1" l="1"/>
  <c r="I58" i="1" l="1"/>
  <c r="G58" i="1"/>
  <c r="H58" i="1" s="1"/>
  <c r="J58" i="1" l="1"/>
  <c r="G59" i="1" l="1"/>
  <c r="H59" i="1" s="1"/>
  <c r="I59" i="1"/>
  <c r="J59" i="1" l="1"/>
  <c r="G60" i="1" l="1"/>
  <c r="H60" i="1" s="1"/>
  <c r="I60" i="1"/>
  <c r="J60" i="1" l="1"/>
  <c r="G61" i="1" s="1"/>
  <c r="H61" i="1" s="1"/>
  <c r="I61" i="1"/>
  <c r="J61" i="1" l="1"/>
  <c r="I62" i="1" l="1"/>
  <c r="G62" i="1"/>
  <c r="H62" i="1" s="1"/>
  <c r="J62" i="1" l="1"/>
  <c r="I63" i="1" l="1"/>
  <c r="G63" i="1"/>
  <c r="H63" i="1" s="1"/>
  <c r="J63" i="1" l="1"/>
  <c r="I64" i="1" l="1"/>
  <c r="G64" i="1"/>
  <c r="H64" i="1" s="1"/>
  <c r="J64" i="1" l="1"/>
  <c r="G65" i="1" l="1"/>
  <c r="H65" i="1" s="1"/>
  <c r="I65" i="1"/>
  <c r="J65" i="1" l="1"/>
  <c r="G66" i="1" l="1"/>
  <c r="H66" i="1" s="1"/>
  <c r="I66" i="1"/>
  <c r="J66" i="1" l="1"/>
  <c r="G67" i="1" l="1"/>
  <c r="H67" i="1" s="1"/>
  <c r="I67" i="1"/>
  <c r="J67" i="1" l="1"/>
  <c r="I68" i="1" l="1"/>
  <c r="G68" i="1"/>
  <c r="H68" i="1" s="1"/>
  <c r="J68" i="1" l="1"/>
  <c r="I69" i="1" l="1"/>
  <c r="G69" i="1"/>
  <c r="H69" i="1" s="1"/>
  <c r="J69" i="1" l="1"/>
  <c r="I70" i="1" l="1"/>
  <c r="G70" i="1"/>
  <c r="H70" i="1" s="1"/>
  <c r="J70" i="1" l="1"/>
  <c r="G71" i="1" l="1"/>
  <c r="H71" i="1" s="1"/>
  <c r="I71" i="1"/>
  <c r="J71" i="1" l="1"/>
  <c r="I72" i="1" l="1"/>
  <c r="G72" i="1"/>
  <c r="H72" i="1" s="1"/>
  <c r="J72" i="1" l="1"/>
  <c r="I73" i="1" l="1"/>
  <c r="G73" i="1"/>
  <c r="H73" i="1" s="1"/>
  <c r="J73" i="1" l="1"/>
  <c r="G74" i="1" l="1"/>
  <c r="H74" i="1" s="1"/>
  <c r="I74" i="1"/>
  <c r="J74" i="1" l="1"/>
  <c r="I75" i="1" l="1"/>
  <c r="G75" i="1"/>
  <c r="H75" i="1" s="1"/>
  <c r="J75" i="1" l="1"/>
  <c r="G76" i="1" l="1"/>
  <c r="H76" i="1" s="1"/>
  <c r="I76" i="1"/>
  <c r="J76" i="1" l="1"/>
</calcChain>
</file>

<file path=xl/sharedStrings.xml><?xml version="1.0" encoding="utf-8"?>
<sst xmlns="http://schemas.openxmlformats.org/spreadsheetml/2006/main" count="30" uniqueCount="29">
  <si>
    <t>Age</t>
  </si>
  <si>
    <t>Distribution</t>
  </si>
  <si>
    <t>RMD</t>
  </si>
  <si>
    <t>IRA, SEP IRA, SIMPLE IRA, 401(k), 403(b), 457(b), and Profit Sharing Plans</t>
  </si>
  <si>
    <t>www.JohnGoldhamer.com</t>
  </si>
  <si>
    <t>Since a Roth IRA pays tax upfront, then there is not a Required Minimum Distribution (RMD), until after the death of the owner.</t>
  </si>
  <si>
    <t>Note: If your SPOUSE is the SOLE BENEFICIARY of your account AND he or she is MORE than 10 YEARS YOUNGER than you, then use Table II</t>
  </si>
  <si>
    <t>5% Return</t>
  </si>
  <si>
    <t xml:space="preserve"> Balance</t>
  </si>
  <si>
    <t>RMD %</t>
  </si>
  <si>
    <t xml:space="preserve">        By John B. Goldhamer</t>
  </si>
  <si>
    <t>Subsequent Years, Withdrawal by December 31</t>
  </si>
  <si>
    <t>First Distribution Withdrawal by April 1</t>
  </si>
  <si>
    <t xml:space="preserve">   Last Year's 12/31 Balance</t>
  </si>
  <si>
    <t>Annual Return on Investment</t>
  </si>
  <si>
    <t xml:space="preserve">   Annual Return on Investment</t>
  </si>
  <si>
    <r>
      <rPr>
        <b/>
        <i/>
        <sz val="10"/>
        <color theme="1"/>
        <rFont val="Arial"/>
        <family val="2"/>
      </rPr>
      <t xml:space="preserve">Estimated </t>
    </r>
    <r>
      <rPr>
        <b/>
        <sz val="10"/>
        <color theme="1"/>
        <rFont val="Arial"/>
        <family val="2"/>
      </rPr>
      <t>RMD             On       Balance</t>
    </r>
  </si>
  <si>
    <r>
      <rPr>
        <b/>
        <i/>
        <sz val="10"/>
        <color theme="1"/>
        <rFont val="Arial"/>
        <family val="2"/>
      </rPr>
      <t xml:space="preserve">Estimated </t>
    </r>
    <r>
      <rPr>
        <b/>
        <sz val="10"/>
        <color theme="1"/>
        <rFont val="Arial"/>
        <family val="2"/>
      </rPr>
      <t>RMD Percent         On Balance</t>
    </r>
  </si>
  <si>
    <t>12/31 Balance Including Distribution and Annual Return on Investment</t>
  </si>
  <si>
    <t>Variable Information</t>
  </si>
  <si>
    <r>
      <t xml:space="preserve">Age at Last Withdrawal                        </t>
    </r>
    <r>
      <rPr>
        <i/>
        <sz val="11"/>
        <color theme="1"/>
        <rFont val="Arial"/>
        <family val="2"/>
      </rPr>
      <t>(or 0, If No Withdrawals)</t>
    </r>
  </si>
  <si>
    <r>
      <rPr>
        <b/>
        <u/>
        <sz val="10"/>
        <color theme="1"/>
        <rFont val="Arial"/>
        <family val="2"/>
      </rPr>
      <t>NEW RULE</t>
    </r>
    <r>
      <rPr>
        <b/>
        <sz val="10"/>
        <color theme="1"/>
        <rFont val="Arial"/>
        <family val="2"/>
      </rPr>
      <t xml:space="preserve"> Distribution Period  –                      IRS Life Expectancy Factor</t>
    </r>
  </si>
  <si>
    <r>
      <rPr>
        <i/>
        <u/>
        <sz val="11"/>
        <rFont val="Arial"/>
        <family val="2"/>
      </rPr>
      <t>Estimated</t>
    </r>
    <r>
      <rPr>
        <u/>
        <sz val="11"/>
        <rFont val="Arial"/>
        <family val="2"/>
      </rPr>
      <t xml:space="preserve"> RMD Annual Calculations by Age with </t>
    </r>
    <r>
      <rPr>
        <i/>
        <u/>
        <sz val="11"/>
        <rFont val="Arial"/>
        <family val="2"/>
      </rPr>
      <t>Variable</t>
    </r>
    <r>
      <rPr>
        <u/>
        <sz val="11"/>
        <rFont val="Arial"/>
        <family val="2"/>
      </rPr>
      <t xml:space="preserve"> Annual Return on Investment, including Percent of Running Balance- Starting at AFTER Age 73 to 120</t>
    </r>
  </si>
  <si>
    <r>
      <rPr>
        <b/>
        <u/>
        <sz val="11"/>
        <rFont val="Arial"/>
        <family val="2"/>
      </rPr>
      <t>NEW RULE</t>
    </r>
    <r>
      <rPr>
        <sz val="11"/>
        <rFont val="Arial"/>
        <family val="2"/>
      </rPr>
      <t>: The IRS Required Minimum Distribution (RMD) rules for classifications with deferred tax accounts such as Individual Retirement Arrangements and Employee Retirement Plans are due April 1, AFTER the year an owner reaches age 73.</t>
    </r>
  </si>
  <si>
    <r>
      <rPr>
        <i/>
        <u/>
        <sz val="11"/>
        <rFont val="Arial"/>
        <family val="2"/>
      </rPr>
      <t>Uncle Sam was willing to let your accounts grow tax-deferred as an incentive to save, but eventually he demands his cut</t>
    </r>
    <r>
      <rPr>
        <i/>
        <sz val="11"/>
        <rFont val="Arial"/>
        <family val="2"/>
      </rPr>
      <t xml:space="preserve">.                                                                                                                                  First RMD is </t>
    </r>
    <r>
      <rPr>
        <i/>
        <u/>
        <sz val="11"/>
        <rFont val="Arial"/>
        <family val="2"/>
      </rPr>
      <t>due the year after you turn age 73</t>
    </r>
    <r>
      <rPr>
        <i/>
        <sz val="11"/>
        <rFont val="Arial"/>
        <family val="2"/>
      </rPr>
      <t xml:space="preserve"> </t>
    </r>
    <r>
      <rPr>
        <i/>
        <u/>
        <sz val="11"/>
        <rFont val="Arial"/>
        <family val="2"/>
      </rPr>
      <t>by April 1 of the following year</t>
    </r>
    <r>
      <rPr>
        <i/>
        <sz val="11"/>
        <rFont val="Arial"/>
        <family val="2"/>
      </rPr>
      <t xml:space="preserve"> and </t>
    </r>
    <r>
      <rPr>
        <i/>
        <u/>
        <sz val="11"/>
        <rFont val="Arial"/>
        <family val="2"/>
      </rPr>
      <t>all subsequent years by December 31</t>
    </r>
    <r>
      <rPr>
        <i/>
        <sz val="11"/>
        <rFont val="Arial"/>
        <family val="2"/>
      </rPr>
      <t xml:space="preserve">.  If an owner fails to withdraw RMD, withdraw the full RMD amount, or to withdraw the RMD by the deadline, the </t>
    </r>
    <r>
      <rPr>
        <i/>
        <u/>
        <sz val="11"/>
        <rFont val="Arial"/>
        <family val="2"/>
      </rPr>
      <t>amount not withdrawn is taxed at 50%</t>
    </r>
    <r>
      <rPr>
        <i/>
        <sz val="11"/>
        <rFont val="Arial"/>
        <family val="2"/>
      </rPr>
      <t>.</t>
    </r>
  </si>
  <si>
    <r>
      <rPr>
        <b/>
        <i/>
        <u/>
        <sz val="11"/>
        <color theme="1"/>
        <rFont val="Arial"/>
        <family val="2"/>
      </rPr>
      <t>Estimated</t>
    </r>
    <r>
      <rPr>
        <b/>
        <sz val="11"/>
        <color theme="1"/>
        <rFont val="Arial"/>
        <family val="2"/>
      </rPr>
      <t xml:space="preserve"> - </t>
    </r>
    <r>
      <rPr>
        <b/>
        <u/>
        <sz val="11"/>
        <color theme="1"/>
        <rFont val="Arial"/>
        <family val="2"/>
      </rPr>
      <t>Required Minimum Distribution (RMD), Starting at Age 73, Withdrawn by April 1 of the Following Year, on $500,000 Balance</t>
    </r>
  </si>
  <si>
    <t>121 and over</t>
  </si>
  <si>
    <t>If at age 73 the balance of your account on December 31, is $500,000 then it is divided by your Distribution Period (IRS Life Expectancy Factor) of 27.4, which equals your Required Minimum Distribution (RMD) or withdrawal for the first year of $18,248, or 3.65%.                                                                                                                                                                                                                               Then $18,248 should be included as income on your next U.S. Individual Income Tax Return, Federal 1040, line 15a, IRA Distributions and the Taxable amount posted on line 15b. Each account should have a separate calculation, but the totals are posted in the Federal 1040.</t>
  </si>
  <si>
    <t>REQUIRED MINIMUM DISTRIBUTION (RMD) - IRS Uniform Lifetime Table III -  NEW RULES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</si>
</sst>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1"/>
      <color theme="1"/>
      <name val="Calibri"/>
      <family val="2"/>
      <scheme val="minor"/>
    </font>
    <font>
      <b/>
      <sz val="11"/>
      <color theme="1"/>
      <name val="Calibri"/>
      <family val="2"/>
      <scheme val="minor"/>
    </font>
    <font>
      <sz val="10"/>
      <color theme="1"/>
      <name val="Arial"/>
      <family val="2"/>
    </font>
    <font>
      <u/>
      <sz val="11"/>
      <color theme="10"/>
      <name val="Calibri"/>
      <family val="2"/>
      <scheme val="minor"/>
    </font>
    <font>
      <sz val="11"/>
      <color theme="1"/>
      <name val="Arial"/>
      <family val="2"/>
    </font>
    <font>
      <b/>
      <sz val="10"/>
      <color theme="1"/>
      <name val="Arial"/>
      <family val="2"/>
    </font>
    <font>
      <b/>
      <u/>
      <sz val="11"/>
      <color theme="1"/>
      <name val="Arial"/>
      <family val="2"/>
    </font>
    <font>
      <i/>
      <sz val="11"/>
      <color theme="1"/>
      <name val="Arial"/>
      <family val="2"/>
    </font>
    <font>
      <u/>
      <sz val="11"/>
      <color theme="10"/>
      <name val="Arial"/>
      <family val="2"/>
    </font>
    <font>
      <b/>
      <sz val="11"/>
      <color theme="1"/>
      <name val="Arial"/>
      <family val="2"/>
    </font>
    <font>
      <sz val="11"/>
      <name val="Arial"/>
      <family val="2"/>
    </font>
    <font>
      <i/>
      <sz val="11"/>
      <name val="Arial"/>
      <family val="2"/>
    </font>
    <font>
      <i/>
      <u/>
      <sz val="11"/>
      <name val="Arial"/>
      <family val="2"/>
    </font>
    <font>
      <b/>
      <sz val="11"/>
      <name val="Arial"/>
      <family val="2"/>
    </font>
    <font>
      <u/>
      <sz val="11"/>
      <color theme="1"/>
      <name val="Arial"/>
      <family val="2"/>
    </font>
    <font>
      <b/>
      <i/>
      <sz val="10"/>
      <color theme="1"/>
      <name val="Arial"/>
      <family val="2"/>
    </font>
    <font>
      <u/>
      <sz val="11"/>
      <name val="Arial"/>
      <family val="2"/>
    </font>
    <font>
      <b/>
      <i/>
      <u/>
      <sz val="11"/>
      <color theme="1"/>
      <name val="Arial"/>
      <family val="2"/>
    </font>
    <font>
      <b/>
      <sz val="11"/>
      <color rgb="FFFF0000"/>
      <name val="Arial"/>
      <family val="2"/>
    </font>
    <font>
      <b/>
      <sz val="12"/>
      <color rgb="FFFF0000"/>
      <name val="Arial"/>
      <family val="2"/>
    </font>
    <font>
      <sz val="11"/>
      <color indexed="8"/>
      <name val="Calibri"/>
      <family val="2"/>
      <charset val="1"/>
    </font>
    <font>
      <b/>
      <u/>
      <sz val="10"/>
      <color theme="1"/>
      <name val="Arial"/>
      <family val="2"/>
    </font>
    <font>
      <b/>
      <u/>
      <sz val="11"/>
      <name val="Arial"/>
      <family val="2"/>
    </font>
  </fonts>
  <fills count="4">
    <fill>
      <patternFill patternType="none"/>
    </fill>
    <fill>
      <patternFill patternType="gray125"/>
    </fill>
    <fill>
      <patternFill patternType="solid">
        <fgColor rgb="FFD2DFED"/>
        <bgColor indexed="64"/>
      </patternFill>
    </fill>
    <fill>
      <patternFill patternType="solid">
        <fgColor theme="3" tint="0.79998168889431442"/>
        <bgColor indexed="64"/>
      </patternFill>
    </fill>
  </fills>
  <borders count="39">
    <border>
      <left/>
      <right/>
      <top/>
      <bottom/>
      <diagonal/>
    </border>
    <border>
      <left style="medium">
        <color rgb="FF4F81BC"/>
      </left>
      <right style="medium">
        <color rgb="FF4F81BC"/>
      </right>
      <top style="medium">
        <color rgb="FF4F81BC"/>
      </top>
      <bottom/>
      <diagonal/>
    </border>
    <border>
      <left style="medium">
        <color rgb="FF4F81BC"/>
      </left>
      <right style="medium">
        <color rgb="FF4F81BC"/>
      </right>
      <top/>
      <bottom style="medium">
        <color rgb="FF4F81BC"/>
      </bottom>
      <diagonal/>
    </border>
    <border>
      <left/>
      <right style="medium">
        <color rgb="FF4F81BC"/>
      </right>
      <top/>
      <bottom style="medium">
        <color rgb="FF4F81BC"/>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medium">
        <color rgb="FF4F81BC"/>
      </left>
      <right style="medium">
        <color rgb="FF4F81BC"/>
      </right>
      <top/>
      <bottom/>
      <diagonal/>
    </border>
    <border>
      <left style="medium">
        <color rgb="FF4F81BC"/>
      </left>
      <right/>
      <top style="medium">
        <color rgb="FF4F81BC"/>
      </top>
      <bottom/>
      <diagonal/>
    </border>
    <border>
      <left style="medium">
        <color rgb="FF4F81BC"/>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thick">
        <color rgb="FFFF0000"/>
      </left>
      <right style="thick">
        <color rgb="FFFF0000"/>
      </right>
      <top style="thick">
        <color rgb="FFFF0000"/>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ck">
        <color rgb="FFFF0000"/>
      </left>
      <right/>
      <top/>
      <bottom style="thin">
        <color rgb="FFFF0000"/>
      </bottom>
      <diagonal/>
    </border>
    <border>
      <left/>
      <right/>
      <top/>
      <bottom style="thin">
        <color rgb="FFFF0000"/>
      </bottom>
      <diagonal/>
    </border>
    <border>
      <left/>
      <right style="medium">
        <color rgb="FFFF0000"/>
      </right>
      <top/>
      <bottom style="thin">
        <color rgb="FFFF0000"/>
      </bottom>
      <diagonal/>
    </border>
    <border>
      <left style="thick">
        <color rgb="FFFF0000"/>
      </left>
      <right/>
      <top style="thin">
        <color rgb="FFFF0000"/>
      </top>
      <bottom style="thin">
        <color rgb="FFFF0000"/>
      </bottom>
      <diagonal/>
    </border>
    <border>
      <left/>
      <right/>
      <top style="thin">
        <color rgb="FFFF0000"/>
      </top>
      <bottom style="thin">
        <color rgb="FFFF0000"/>
      </bottom>
      <diagonal/>
    </border>
    <border>
      <left/>
      <right style="medium">
        <color rgb="FFFF0000"/>
      </right>
      <top style="thin">
        <color rgb="FFFF0000"/>
      </top>
      <bottom style="thin">
        <color rgb="FFFF0000"/>
      </bottom>
      <diagonal/>
    </border>
    <border>
      <left style="medium">
        <color rgb="FF4F81BC"/>
      </left>
      <right style="medium">
        <color rgb="FF4F81BC"/>
      </right>
      <top/>
      <bottom style="thin">
        <color indexed="64"/>
      </bottom>
      <diagonal/>
    </border>
    <border>
      <left style="medium">
        <color rgb="FF4F81BC"/>
      </left>
      <right style="medium">
        <color rgb="FFFF0000"/>
      </right>
      <top style="medium">
        <color rgb="FF4F81BC"/>
      </top>
      <bottom/>
      <diagonal/>
    </border>
    <border>
      <left style="medium">
        <color rgb="FF4F81BC"/>
      </left>
      <right style="medium">
        <color rgb="FFFF0000"/>
      </right>
      <top/>
      <bottom/>
      <diagonal/>
    </border>
    <border>
      <left style="medium">
        <color rgb="FF4F81BC"/>
      </left>
      <right/>
      <top/>
      <bottom style="thin">
        <color indexed="64"/>
      </bottom>
      <diagonal/>
    </border>
    <border>
      <left style="medium">
        <color rgb="FF4F81BC"/>
      </left>
      <right style="medium">
        <color rgb="FFFF0000"/>
      </right>
      <top/>
      <bottom style="thin">
        <color indexed="64"/>
      </bottom>
      <diagonal/>
    </border>
  </borders>
  <cellStyleXfs count="3">
    <xf numFmtId="0" fontId="0" fillId="0" borderId="0"/>
    <xf numFmtId="0" fontId="3" fillId="0" borderId="0" applyNumberFormat="0" applyFill="0" applyBorder="0" applyAlignment="0" applyProtection="0"/>
    <xf numFmtId="0" fontId="20" fillId="0" borderId="0"/>
  </cellStyleXfs>
  <cellXfs count="90">
    <xf numFmtId="0" fontId="0" fillId="0" borderId="0" xfId="0"/>
    <xf numFmtId="0" fontId="0" fillId="0" borderId="0" xfId="0" applyAlignment="1">
      <alignment horizontal="center"/>
    </xf>
    <xf numFmtId="3" fontId="0" fillId="0" borderId="0" xfId="0" applyNumberFormat="1"/>
    <xf numFmtId="164" fontId="0" fillId="0" borderId="0" xfId="0" applyNumberFormat="1" applyAlignment="1">
      <alignment horizontal="center"/>
    </xf>
    <xf numFmtId="3" fontId="1" fillId="0" borderId="0" xfId="0" applyNumberFormat="1" applyFont="1" applyAlignment="1">
      <alignment horizontal="center"/>
    </xf>
    <xf numFmtId="10" fontId="0" fillId="0" borderId="0" xfId="0" applyNumberFormat="1" applyAlignment="1">
      <alignment horizontal="center"/>
    </xf>
    <xf numFmtId="0" fontId="5" fillId="2" borderId="2" xfId="0"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10" fontId="2" fillId="2" borderId="3"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3" fontId="2" fillId="0" borderId="3" xfId="0" applyNumberFormat="1" applyFont="1" applyBorder="1" applyAlignment="1">
      <alignment horizontal="center" vertical="center" wrapText="1"/>
    </xf>
    <xf numFmtId="10"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xf numFmtId="0" fontId="8" fillId="0" borderId="0" xfId="1" applyFont="1"/>
    <xf numFmtId="0" fontId="9" fillId="0" borderId="0" xfId="0" applyFont="1" applyAlignment="1">
      <alignment horizontal="center"/>
    </xf>
    <xf numFmtId="0" fontId="10" fillId="0" borderId="0" xfId="0" applyFont="1"/>
    <xf numFmtId="0" fontId="11" fillId="0" borderId="0" xfId="0" applyFont="1" applyAlignment="1">
      <alignment horizontal="center"/>
    </xf>
    <xf numFmtId="0" fontId="13" fillId="0" borderId="0" xfId="0" applyFont="1" applyAlignment="1">
      <alignment horizontal="center"/>
    </xf>
    <xf numFmtId="0" fontId="11" fillId="0" borderId="0" xfId="0" applyFont="1" applyAlignment="1">
      <alignment horizontal="center" vertical="center" wrapText="1"/>
    </xf>
    <xf numFmtId="0" fontId="4" fillId="0" borderId="4" xfId="0" applyFont="1" applyBorder="1" applyAlignment="1">
      <alignment horizontal="center"/>
    </xf>
    <xf numFmtId="0" fontId="14" fillId="0" borderId="0" xfId="0" applyFont="1" applyAlignment="1">
      <alignment horizontal="right"/>
    </xf>
    <xf numFmtId="0" fontId="4" fillId="0" borderId="13" xfId="0" applyFont="1" applyBorder="1" applyAlignment="1">
      <alignment horizontal="center"/>
    </xf>
    <xf numFmtId="3" fontId="4" fillId="0" borderId="13" xfId="0" applyNumberFormat="1" applyFont="1" applyBorder="1" applyAlignment="1">
      <alignment horizontal="center"/>
    </xf>
    <xf numFmtId="10" fontId="4" fillId="0" borderId="13" xfId="0" applyNumberFormat="1" applyFont="1" applyBorder="1" applyAlignment="1">
      <alignment horizontal="center"/>
    </xf>
    <xf numFmtId="3" fontId="9" fillId="0" borderId="13" xfId="0" applyNumberFormat="1" applyFont="1" applyBorder="1" applyAlignment="1">
      <alignment horizontal="center"/>
    </xf>
    <xf numFmtId="0" fontId="14" fillId="0" borderId="0" xfId="0" applyFont="1"/>
    <xf numFmtId="3" fontId="9" fillId="0" borderId="17"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165" fontId="2" fillId="3" borderId="3" xfId="0" applyNumberFormat="1"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10" fontId="2" fillId="3" borderId="3" xfId="0" applyNumberFormat="1" applyFont="1" applyFill="1" applyBorder="1" applyAlignment="1">
      <alignment horizontal="center" vertical="center" wrapText="1"/>
    </xf>
    <xf numFmtId="0" fontId="7" fillId="0" borderId="0" xfId="0" applyFont="1" applyAlignment="1">
      <alignment wrapText="1"/>
    </xf>
    <xf numFmtId="0" fontId="0" fillId="0" borderId="21" xfId="0" applyBorder="1"/>
    <xf numFmtId="0" fontId="0" fillId="0" borderId="23" xfId="0" applyBorder="1"/>
    <xf numFmtId="3" fontId="5" fillId="0" borderId="24" xfId="0" applyNumberFormat="1" applyFont="1" applyBorder="1" applyAlignment="1">
      <alignment horizontal="center" vertical="center" wrapText="1"/>
    </xf>
    <xf numFmtId="0" fontId="0" fillId="0" borderId="24" xfId="0" applyBorder="1"/>
    <xf numFmtId="10" fontId="9" fillId="0" borderId="25" xfId="0" applyNumberFormat="1" applyFont="1" applyBorder="1" applyAlignment="1">
      <alignment horizontal="center" vertical="center" wrapText="1"/>
    </xf>
    <xf numFmtId="0" fontId="4" fillId="0" borderId="26" xfId="0" applyFont="1" applyBorder="1"/>
    <xf numFmtId="0" fontId="0" fillId="0" borderId="26" xfId="0" applyBorder="1"/>
    <xf numFmtId="0" fontId="0" fillId="0" borderId="27" xfId="0" applyBorder="1"/>
    <xf numFmtId="0" fontId="4" fillId="0" borderId="28" xfId="0" applyFont="1" applyBorder="1"/>
    <xf numFmtId="0" fontId="0" fillId="0" borderId="29" xfId="0" applyBorder="1"/>
    <xf numFmtId="0" fontId="0" fillId="0" borderId="30" xfId="0" applyBorder="1"/>
    <xf numFmtId="0" fontId="6" fillId="0" borderId="0" xfId="0" applyFont="1" applyAlignment="1">
      <alignment horizont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6" fillId="0" borderId="0" xfId="0" applyFont="1" applyAlignment="1">
      <alignment horizontal="center"/>
    </xf>
    <xf numFmtId="0" fontId="7" fillId="0" borderId="0" xfId="0" applyFont="1" applyAlignment="1">
      <alignment horizont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0" fontId="5" fillId="0" borderId="35" xfId="0" applyNumberFormat="1" applyFont="1" applyBorder="1" applyAlignment="1">
      <alignment horizontal="center" vertical="center" wrapText="1"/>
    </xf>
    <xf numFmtId="10" fontId="5" fillId="0" borderId="36" xfId="0" applyNumberFormat="1" applyFont="1" applyBorder="1" applyAlignment="1">
      <alignment horizontal="center" vertical="center" wrapText="1"/>
    </xf>
    <xf numFmtId="10" fontId="5" fillId="0" borderId="38"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4" xfId="0"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3" fontId="5" fillId="0" borderId="34"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10" fontId="5" fillId="0" borderId="18" xfId="0" applyNumberFormat="1" applyFont="1" applyBorder="1" applyAlignment="1">
      <alignment horizontal="center" vertical="center" wrapText="1"/>
    </xf>
    <xf numFmtId="10" fontId="5" fillId="0" borderId="34" xfId="0" applyNumberFormat="1" applyFont="1" applyBorder="1" applyAlignment="1">
      <alignment horizontal="center" vertical="center" wrapText="1"/>
    </xf>
    <xf numFmtId="10" fontId="5" fillId="0" borderId="19" xfId="0" applyNumberFormat="1" applyFont="1" applyBorder="1" applyAlignment="1">
      <alignment horizontal="center" vertical="center" wrapText="1"/>
    </xf>
    <xf numFmtId="10" fontId="5" fillId="0" borderId="20" xfId="0" applyNumberFormat="1" applyFont="1" applyBorder="1" applyAlignment="1">
      <alignment horizontal="center" vertical="center" wrapText="1"/>
    </xf>
    <xf numFmtId="10" fontId="5" fillId="0" borderId="37" xfId="0" applyNumberFormat="1" applyFont="1" applyBorder="1" applyAlignment="1">
      <alignment horizontal="center" vertical="center" wrapText="1"/>
    </xf>
    <xf numFmtId="0" fontId="19" fillId="0" borderId="22" xfId="0" applyFont="1" applyBorder="1" applyAlignment="1">
      <alignment horizontal="center" vertical="center"/>
    </xf>
    <xf numFmtId="0" fontId="18" fillId="0" borderId="22" xfId="0" applyFont="1" applyBorder="1" applyAlignment="1">
      <alignment horizontal="center" vertical="center"/>
    </xf>
  </cellXfs>
  <cellStyles count="3">
    <cellStyle name="Excel Built-in Normal" xfId="2" xr:uid="{9FADE97A-8593-4BD1-9E05-31A053F83192}"/>
    <cellStyle name="Hyperlink" xfId="1" builtinId="8"/>
    <cellStyle name="Normal" xfId="0" builtinId="0"/>
  </cellStyles>
  <dxfs count="49">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
      <font>
        <strike/>
      </font>
      <fill>
        <patternFill patternType="solid">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ohngoldham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6"/>
  <sheetViews>
    <sheetView tabSelected="1" topLeftCell="B1" zoomScaleNormal="100" workbookViewId="0">
      <selection activeCell="B1" sqref="B1"/>
    </sheetView>
  </sheetViews>
  <sheetFormatPr defaultRowHeight="14.75" x14ac:dyDescent="0.75"/>
  <cols>
    <col min="1" max="1" width="2.7265625" customWidth="1"/>
    <col min="2" max="2" width="11.7265625" customWidth="1"/>
    <col min="3" max="5" width="11.1328125" customWidth="1"/>
    <col min="6" max="6" width="11.54296875" customWidth="1"/>
    <col min="7" max="9" width="11.1328125" customWidth="1"/>
    <col min="10" max="10" width="11.86328125" bestFit="1" customWidth="1"/>
    <col min="11" max="11" width="1.54296875" customWidth="1"/>
    <col min="12" max="13" width="11.1328125" customWidth="1"/>
    <col min="14" max="14" width="14.26953125" customWidth="1"/>
    <col min="15" max="15" width="5.04296875" customWidth="1"/>
    <col min="16" max="16" width="10" customWidth="1"/>
    <col min="17" max="17" width="10.54296875" bestFit="1" customWidth="1"/>
  </cols>
  <sheetData>
    <row r="1" spans="2:15" x14ac:dyDescent="0.75">
      <c r="B1" s="14"/>
      <c r="C1" s="14"/>
      <c r="D1" s="14"/>
      <c r="E1" s="14"/>
      <c r="F1" s="14"/>
      <c r="G1" s="14"/>
      <c r="H1" s="14"/>
      <c r="I1" s="14"/>
      <c r="J1" s="14"/>
      <c r="K1" s="14"/>
      <c r="L1" s="14"/>
      <c r="M1" s="14"/>
      <c r="N1" s="14"/>
    </row>
    <row r="2" spans="2:15" x14ac:dyDescent="0.75">
      <c r="B2" s="46" t="s">
        <v>28</v>
      </c>
      <c r="C2" s="46"/>
      <c r="D2" s="46"/>
      <c r="E2" s="46"/>
      <c r="F2" s="46"/>
      <c r="G2" s="46"/>
      <c r="H2" s="46"/>
      <c r="I2" s="46"/>
      <c r="J2" s="46"/>
      <c r="K2" s="46"/>
      <c r="L2" s="46"/>
      <c r="M2" s="46"/>
      <c r="N2" s="46"/>
    </row>
    <row r="3" spans="2:15" x14ac:dyDescent="0.75">
      <c r="B3" s="68" t="s">
        <v>22</v>
      </c>
      <c r="C3" s="68"/>
      <c r="D3" s="68"/>
      <c r="E3" s="68"/>
      <c r="F3" s="68"/>
      <c r="G3" s="68"/>
      <c r="H3" s="68"/>
      <c r="I3" s="68"/>
      <c r="J3" s="68"/>
      <c r="K3" s="68"/>
      <c r="L3" s="68"/>
      <c r="M3" s="68"/>
      <c r="N3" s="68"/>
      <c r="O3" s="68"/>
    </row>
    <row r="4" spans="2:15" x14ac:dyDescent="0.75">
      <c r="B4" s="14"/>
      <c r="C4" s="14"/>
      <c r="D4" s="14"/>
      <c r="E4" s="14"/>
      <c r="F4" s="14" t="s">
        <v>10</v>
      </c>
      <c r="G4" s="14"/>
      <c r="I4" s="15" t="s">
        <v>4</v>
      </c>
      <c r="J4" s="14"/>
      <c r="K4" s="14"/>
      <c r="L4" s="14"/>
      <c r="M4" s="14"/>
      <c r="N4" s="14"/>
    </row>
    <row r="5" spans="2:15" x14ac:dyDescent="0.75">
      <c r="B5" s="69" t="s">
        <v>6</v>
      </c>
      <c r="C5" s="69"/>
      <c r="D5" s="69"/>
      <c r="E5" s="69"/>
      <c r="F5" s="69"/>
      <c r="G5" s="69"/>
      <c r="H5" s="69"/>
      <c r="I5" s="69"/>
      <c r="J5" s="69"/>
      <c r="K5" s="69"/>
      <c r="L5" s="69"/>
      <c r="M5" s="69"/>
      <c r="N5" s="69"/>
      <c r="O5" s="69"/>
    </row>
    <row r="6" spans="2:15" ht="5.25" customHeight="1" x14ac:dyDescent="0.75">
      <c r="B6" s="14"/>
      <c r="C6" s="14"/>
      <c r="D6" s="14"/>
      <c r="E6" s="14"/>
      <c r="F6" s="14"/>
      <c r="G6" s="16"/>
      <c r="H6" s="16"/>
      <c r="I6" s="16"/>
      <c r="J6" s="14"/>
      <c r="K6" s="14"/>
      <c r="L6" s="14"/>
      <c r="M6" s="14"/>
      <c r="N6" s="14"/>
    </row>
    <row r="7" spans="2:15" ht="15" customHeight="1" x14ac:dyDescent="0.75">
      <c r="B7" s="53" t="s">
        <v>23</v>
      </c>
      <c r="C7" s="54"/>
      <c r="D7" s="54"/>
      <c r="E7" s="54"/>
      <c r="F7" s="54"/>
      <c r="G7" s="54"/>
      <c r="H7" s="54"/>
      <c r="I7" s="54"/>
      <c r="J7" s="54"/>
      <c r="K7" s="54"/>
      <c r="L7" s="54"/>
      <c r="M7" s="54"/>
      <c r="N7" s="55"/>
    </row>
    <row r="8" spans="2:15" x14ac:dyDescent="0.75">
      <c r="B8" s="56"/>
      <c r="C8" s="57"/>
      <c r="D8" s="57"/>
      <c r="E8" s="57"/>
      <c r="F8" s="57"/>
      <c r="G8" s="57"/>
      <c r="H8" s="57"/>
      <c r="I8" s="57"/>
      <c r="J8" s="57"/>
      <c r="K8" s="57"/>
      <c r="L8" s="57"/>
      <c r="M8" s="57"/>
      <c r="N8" s="58"/>
    </row>
    <row r="9" spans="2:15" x14ac:dyDescent="0.75">
      <c r="B9" s="47" t="s">
        <v>3</v>
      </c>
      <c r="C9" s="48"/>
      <c r="D9" s="48"/>
      <c r="E9" s="48"/>
      <c r="F9" s="48"/>
      <c r="G9" s="48"/>
      <c r="H9" s="48"/>
      <c r="I9" s="48"/>
      <c r="J9" s="48"/>
      <c r="K9" s="48"/>
      <c r="L9" s="48"/>
      <c r="M9" s="48"/>
      <c r="N9" s="49"/>
    </row>
    <row r="10" spans="2:15" x14ac:dyDescent="0.75">
      <c r="B10" s="50" t="s">
        <v>5</v>
      </c>
      <c r="C10" s="51"/>
      <c r="D10" s="51"/>
      <c r="E10" s="51"/>
      <c r="F10" s="51"/>
      <c r="G10" s="51"/>
      <c r="H10" s="51"/>
      <c r="I10" s="51"/>
      <c r="J10" s="51"/>
      <c r="K10" s="51"/>
      <c r="L10" s="51"/>
      <c r="M10" s="51"/>
      <c r="N10" s="52"/>
    </row>
    <row r="11" spans="2:15" ht="5.25" customHeight="1" x14ac:dyDescent="0.75">
      <c r="B11" s="17"/>
      <c r="C11" s="17"/>
      <c r="D11" s="17"/>
      <c r="E11" s="17"/>
      <c r="F11" s="17"/>
      <c r="G11" s="18"/>
      <c r="H11" s="19"/>
      <c r="I11" s="19"/>
      <c r="J11" s="17"/>
      <c r="K11" s="17"/>
      <c r="L11" s="17"/>
      <c r="M11" s="17"/>
      <c r="N11" s="17"/>
    </row>
    <row r="12" spans="2:15" ht="15" customHeight="1" x14ac:dyDescent="0.75">
      <c r="B12" s="59" t="s">
        <v>24</v>
      </c>
      <c r="C12" s="60"/>
      <c r="D12" s="60"/>
      <c r="E12" s="60"/>
      <c r="F12" s="60"/>
      <c r="G12" s="60"/>
      <c r="H12" s="60"/>
      <c r="I12" s="60"/>
      <c r="J12" s="60"/>
      <c r="K12" s="60"/>
      <c r="L12" s="60"/>
      <c r="M12" s="60"/>
      <c r="N12" s="61"/>
    </row>
    <row r="13" spans="2:15" x14ac:dyDescent="0.75">
      <c r="B13" s="62"/>
      <c r="C13" s="63"/>
      <c r="D13" s="63"/>
      <c r="E13" s="63"/>
      <c r="F13" s="63"/>
      <c r="G13" s="63"/>
      <c r="H13" s="63"/>
      <c r="I13" s="63"/>
      <c r="J13" s="63"/>
      <c r="K13" s="63"/>
      <c r="L13" s="63"/>
      <c r="M13" s="63"/>
      <c r="N13" s="64"/>
    </row>
    <row r="14" spans="2:15" x14ac:dyDescent="0.75">
      <c r="B14" s="65"/>
      <c r="C14" s="66"/>
      <c r="D14" s="66"/>
      <c r="E14" s="66"/>
      <c r="F14" s="66"/>
      <c r="G14" s="66"/>
      <c r="H14" s="66"/>
      <c r="I14" s="66"/>
      <c r="J14" s="66"/>
      <c r="K14" s="66"/>
      <c r="L14" s="66"/>
      <c r="M14" s="66"/>
      <c r="N14" s="67"/>
    </row>
    <row r="15" spans="2:15" ht="6" customHeight="1" x14ac:dyDescent="0.75">
      <c r="B15" s="20"/>
      <c r="C15" s="20"/>
      <c r="D15" s="20"/>
      <c r="E15" s="20"/>
      <c r="F15" s="20"/>
      <c r="G15" s="20"/>
      <c r="H15" s="20"/>
      <c r="I15" s="20"/>
      <c r="J15" s="20"/>
      <c r="K15" s="20"/>
      <c r="L15" s="20"/>
      <c r="M15" s="20"/>
      <c r="N15" s="20"/>
    </row>
    <row r="16" spans="2:15" x14ac:dyDescent="0.75">
      <c r="B16" s="59" t="s">
        <v>27</v>
      </c>
      <c r="C16" s="60"/>
      <c r="D16" s="60"/>
      <c r="E16" s="60"/>
      <c r="F16" s="60"/>
      <c r="G16" s="60"/>
      <c r="H16" s="60"/>
      <c r="I16" s="60"/>
      <c r="J16" s="60"/>
      <c r="K16" s="60"/>
      <c r="L16" s="60"/>
      <c r="M16" s="60"/>
      <c r="N16" s="61"/>
    </row>
    <row r="17" spans="2:16" x14ac:dyDescent="0.75">
      <c r="B17" s="62"/>
      <c r="C17" s="63"/>
      <c r="D17" s="63"/>
      <c r="E17" s="63"/>
      <c r="F17" s="63"/>
      <c r="G17" s="63"/>
      <c r="H17" s="63"/>
      <c r="I17" s="63"/>
      <c r="J17" s="63"/>
      <c r="K17" s="63"/>
      <c r="L17" s="63"/>
      <c r="M17" s="63"/>
      <c r="N17" s="64"/>
    </row>
    <row r="18" spans="2:16" x14ac:dyDescent="0.75">
      <c r="B18" s="62"/>
      <c r="C18" s="63"/>
      <c r="D18" s="63"/>
      <c r="E18" s="63"/>
      <c r="F18" s="63"/>
      <c r="G18" s="63"/>
      <c r="H18" s="63"/>
      <c r="I18" s="63"/>
      <c r="J18" s="63"/>
      <c r="K18" s="63"/>
      <c r="L18" s="63"/>
      <c r="M18" s="63"/>
      <c r="N18" s="64"/>
    </row>
    <row r="19" spans="2:16" x14ac:dyDescent="0.75">
      <c r="B19" s="65"/>
      <c r="C19" s="66"/>
      <c r="D19" s="66"/>
      <c r="E19" s="66"/>
      <c r="F19" s="66"/>
      <c r="G19" s="66"/>
      <c r="H19" s="66"/>
      <c r="I19" s="66"/>
      <c r="J19" s="66"/>
      <c r="K19" s="66"/>
      <c r="L19" s="66"/>
      <c r="M19" s="66"/>
      <c r="N19" s="67"/>
    </row>
    <row r="20" spans="2:16" ht="5.25" customHeight="1" x14ac:dyDescent="0.75">
      <c r="B20" s="14"/>
      <c r="C20" s="14"/>
      <c r="D20" s="14"/>
      <c r="E20" s="14"/>
      <c r="F20" s="14"/>
      <c r="G20" s="16"/>
      <c r="H20" s="16"/>
      <c r="I20" s="16"/>
      <c r="J20" s="14"/>
      <c r="K20" s="14"/>
      <c r="L20" s="14"/>
      <c r="M20" s="14"/>
      <c r="N20" s="14"/>
    </row>
    <row r="21" spans="2:16" x14ac:dyDescent="0.75">
      <c r="B21" s="46" t="s">
        <v>25</v>
      </c>
      <c r="C21" s="46"/>
      <c r="D21" s="46"/>
      <c r="E21" s="46"/>
      <c r="F21" s="46"/>
      <c r="G21" s="46"/>
      <c r="H21" s="46"/>
      <c r="I21" s="46"/>
      <c r="J21" s="46"/>
      <c r="K21" s="46"/>
      <c r="L21" s="46"/>
      <c r="M21" s="46"/>
      <c r="N21" s="46"/>
    </row>
    <row r="22" spans="2:16" ht="15.5" thickBot="1" x14ac:dyDescent="0.9">
      <c r="B22" s="14"/>
      <c r="C22" s="14"/>
      <c r="D22" s="14"/>
      <c r="E22" s="21" t="s">
        <v>0</v>
      </c>
      <c r="F22" s="21" t="s">
        <v>1</v>
      </c>
      <c r="G22" s="21" t="s">
        <v>2</v>
      </c>
      <c r="H22" s="21" t="s">
        <v>9</v>
      </c>
      <c r="I22" s="21" t="s">
        <v>7</v>
      </c>
      <c r="J22" s="21" t="s">
        <v>8</v>
      </c>
      <c r="K22" s="14"/>
      <c r="L22" s="14"/>
      <c r="M22" s="14"/>
      <c r="N22" s="14"/>
    </row>
    <row r="23" spans="2:16" ht="15.5" thickTop="1" x14ac:dyDescent="0.75">
      <c r="B23" s="14"/>
      <c r="C23" s="14"/>
      <c r="D23" s="22" t="s">
        <v>12</v>
      </c>
      <c r="E23" s="24">
        <v>73</v>
      </c>
      <c r="F23" s="23">
        <v>27.4</v>
      </c>
      <c r="G23" s="24">
        <f>+J23/F23</f>
        <v>18248.175182481751</v>
      </c>
      <c r="H23" s="25">
        <f>+G23/J23</f>
        <v>3.6496350364963501E-2</v>
      </c>
      <c r="I23" s="24">
        <f>+J23*5%</f>
        <v>25000</v>
      </c>
      <c r="J23" s="26">
        <f>+L27</f>
        <v>500000</v>
      </c>
      <c r="K23" s="27" t="s">
        <v>11</v>
      </c>
      <c r="L23" s="14"/>
      <c r="M23" s="14"/>
      <c r="N23" s="14"/>
    </row>
    <row r="24" spans="2:16" ht="9" customHeight="1" thickBot="1" x14ac:dyDescent="0.9">
      <c r="E24" s="4"/>
      <c r="F24" s="3"/>
      <c r="G24" s="1"/>
      <c r="H24" s="2"/>
      <c r="I24" s="2"/>
      <c r="J24" s="5"/>
    </row>
    <row r="25" spans="2:16" ht="57.75" customHeight="1" thickBot="1" x14ac:dyDescent="0.9">
      <c r="E25" s="76" t="s">
        <v>0</v>
      </c>
      <c r="F25" s="76" t="s">
        <v>21</v>
      </c>
      <c r="G25" s="79" t="s">
        <v>16</v>
      </c>
      <c r="H25" s="82" t="s">
        <v>17</v>
      </c>
      <c r="I25" s="85" t="s">
        <v>14</v>
      </c>
      <c r="J25" s="73" t="s">
        <v>18</v>
      </c>
      <c r="K25" s="35"/>
      <c r="L25" s="88" t="s">
        <v>19</v>
      </c>
      <c r="M25" s="89"/>
      <c r="N25" s="89"/>
      <c r="O25" s="36"/>
    </row>
    <row r="26" spans="2:16" ht="28.5" customHeight="1" thickTop="1" thickBot="1" x14ac:dyDescent="0.9">
      <c r="E26" s="77"/>
      <c r="F26" s="77"/>
      <c r="G26" s="80"/>
      <c r="H26" s="83"/>
      <c r="I26" s="86"/>
      <c r="J26" s="74"/>
      <c r="K26" s="37"/>
      <c r="L26" s="28">
        <v>73</v>
      </c>
      <c r="M26" s="70" t="s">
        <v>20</v>
      </c>
      <c r="N26" s="71"/>
      <c r="O26" s="72"/>
      <c r="P26" s="34"/>
    </row>
    <row r="27" spans="2:16" ht="16.25" thickTop="1" thickBot="1" x14ac:dyDescent="0.9">
      <c r="E27" s="78"/>
      <c r="F27" s="78"/>
      <c r="G27" s="81"/>
      <c r="H27" s="84"/>
      <c r="I27" s="87"/>
      <c r="J27" s="75"/>
      <c r="K27" s="38"/>
      <c r="L27" s="28">
        <v>500000</v>
      </c>
      <c r="M27" s="43" t="s">
        <v>13</v>
      </c>
      <c r="N27" s="44"/>
      <c r="O27" s="45"/>
    </row>
    <row r="28" spans="2:16" ht="16.25" thickTop="1" thickBot="1" x14ac:dyDescent="0.9">
      <c r="E28" s="6">
        <v>73</v>
      </c>
      <c r="F28" s="7">
        <v>27.4</v>
      </c>
      <c r="G28" s="8">
        <f>+L27/F28</f>
        <v>18248.175182481751</v>
      </c>
      <c r="H28" s="9">
        <f>+G28/L27</f>
        <v>3.6496350364963501E-2</v>
      </c>
      <c r="I28" s="8">
        <f>+L27*L28</f>
        <v>25000</v>
      </c>
      <c r="J28" s="8">
        <f>IF(AND(L26&gt;=E28,L26&lt;E29),L27,SUM(L27-G28)+I28)</f>
        <v>500000</v>
      </c>
      <c r="L28" s="39">
        <v>0.05</v>
      </c>
      <c r="M28" s="40" t="s">
        <v>15</v>
      </c>
      <c r="N28" s="41"/>
      <c r="O28" s="42"/>
    </row>
    <row r="29" spans="2:16" ht="15.5" thickBot="1" x14ac:dyDescent="0.9">
      <c r="E29" s="10">
        <v>74</v>
      </c>
      <c r="F29" s="29">
        <v>26.5</v>
      </c>
      <c r="G29" s="11">
        <f t="shared" ref="G29:G75" si="0">+J28/F29</f>
        <v>18867.924528301886</v>
      </c>
      <c r="H29" s="12">
        <f t="shared" ref="H29:H76" si="1">+G29/J28</f>
        <v>3.7735849056603772E-2</v>
      </c>
      <c r="I29" s="11">
        <f>+J28*L28</f>
        <v>25000</v>
      </c>
      <c r="J29" s="11">
        <f>IF(L26=73,L27,SUM(J28-G29)+I29)</f>
        <v>500000</v>
      </c>
    </row>
    <row r="30" spans="2:16" ht="15.5" thickBot="1" x14ac:dyDescent="0.9">
      <c r="E30" s="6">
        <v>75</v>
      </c>
      <c r="F30" s="7">
        <v>25.5</v>
      </c>
      <c r="G30" s="8">
        <f t="shared" si="0"/>
        <v>19607.843137254902</v>
      </c>
      <c r="H30" s="9">
        <f t="shared" si="1"/>
        <v>3.9215686274509803E-2</v>
      </c>
      <c r="I30" s="8">
        <f>+J29*L28</f>
        <v>25000</v>
      </c>
      <c r="J30" s="8">
        <f>IF(L26=74,L27,SUM(J29-G30)+I30)</f>
        <v>505392.15686274512</v>
      </c>
    </row>
    <row r="31" spans="2:16" ht="15.5" thickBot="1" x14ac:dyDescent="0.9">
      <c r="E31" s="10">
        <v>76</v>
      </c>
      <c r="F31" s="29">
        <v>24.6</v>
      </c>
      <c r="G31" s="11">
        <f t="shared" si="0"/>
        <v>20544.396620436793</v>
      </c>
      <c r="H31" s="12">
        <f t="shared" si="1"/>
        <v>4.065040650406504E-2</v>
      </c>
      <c r="I31" s="11">
        <f>+J30*L28</f>
        <v>25269.607843137259</v>
      </c>
      <c r="J31" s="11">
        <f>IF(L26=75,L27,SUM(J30-G31)+I31)</f>
        <v>510117.3680854456</v>
      </c>
    </row>
    <row r="32" spans="2:16" ht="15.5" thickBot="1" x14ac:dyDescent="0.9">
      <c r="E32" s="30">
        <v>77</v>
      </c>
      <c r="F32" s="31">
        <v>23.7</v>
      </c>
      <c r="G32" s="32">
        <f t="shared" si="0"/>
        <v>21523.939581664374</v>
      </c>
      <c r="H32" s="33">
        <f t="shared" si="1"/>
        <v>4.2194092827004225E-2</v>
      </c>
      <c r="I32" s="32">
        <f>+J31*L28</f>
        <v>25505.868404272282</v>
      </c>
      <c r="J32" s="32">
        <f>IF(L26=76,L27,SUM(J31-G32)+I32)</f>
        <v>514099.29690805351</v>
      </c>
    </row>
    <row r="33" spans="5:10" ht="15.5" thickBot="1" x14ac:dyDescent="0.9">
      <c r="E33" s="10">
        <v>78</v>
      </c>
      <c r="F33" s="29">
        <v>22.9</v>
      </c>
      <c r="G33" s="11">
        <f t="shared" si="0"/>
        <v>22449.750956683562</v>
      </c>
      <c r="H33" s="12">
        <f t="shared" si="1"/>
        <v>4.3668122270742363E-2</v>
      </c>
      <c r="I33" s="11">
        <f>+J32*L28</f>
        <v>25704.964845402676</v>
      </c>
      <c r="J33" s="11">
        <f>IF(L26=77,L27,SUM(J32-G33)+I33)</f>
        <v>517354.51079677267</v>
      </c>
    </row>
    <row r="34" spans="5:10" ht="15.5" thickBot="1" x14ac:dyDescent="0.9">
      <c r="E34" s="30">
        <v>79</v>
      </c>
      <c r="F34" s="31">
        <v>22</v>
      </c>
      <c r="G34" s="32">
        <f t="shared" si="0"/>
        <v>23516.114127126031</v>
      </c>
      <c r="H34" s="33">
        <f t="shared" si="1"/>
        <v>4.5454545454545456E-2</v>
      </c>
      <c r="I34" s="32">
        <f>+J33*L28</f>
        <v>25867.725539838633</v>
      </c>
      <c r="J34" s="32">
        <f>IF(L26=78,L27,SUM(J33-G34)+I34)</f>
        <v>519706.12220948527</v>
      </c>
    </row>
    <row r="35" spans="5:10" ht="15.5" thickBot="1" x14ac:dyDescent="0.9">
      <c r="E35" s="10">
        <v>80</v>
      </c>
      <c r="F35" s="29">
        <v>21.1</v>
      </c>
      <c r="G35" s="11">
        <f t="shared" si="0"/>
        <v>24630.621905662807</v>
      </c>
      <c r="H35" s="12">
        <f t="shared" si="1"/>
        <v>4.7393364928909949E-2</v>
      </c>
      <c r="I35" s="11">
        <f>+J34*L28</f>
        <v>25985.306110474266</v>
      </c>
      <c r="J35" s="11">
        <f>IF(L26=79,L27,SUM(J34-G35)+I35)</f>
        <v>521060.80641429673</v>
      </c>
    </row>
    <row r="36" spans="5:10" ht="15.5" thickBot="1" x14ac:dyDescent="0.9">
      <c r="E36" s="30">
        <v>81</v>
      </c>
      <c r="F36" s="31">
        <v>20.2</v>
      </c>
      <c r="G36" s="32">
        <f t="shared" si="0"/>
        <v>25795.089426450333</v>
      </c>
      <c r="H36" s="33">
        <f t="shared" si="1"/>
        <v>4.9504950495049507E-2</v>
      </c>
      <c r="I36" s="32">
        <f>+J35*L28</f>
        <v>26053.040320714837</v>
      </c>
      <c r="J36" s="32">
        <f>IF(L26=80,L27,SUM(J35-G36)+I36)</f>
        <v>521318.75730856124</v>
      </c>
    </row>
    <row r="37" spans="5:10" ht="15.5" thickBot="1" x14ac:dyDescent="0.9">
      <c r="E37" s="10">
        <v>82</v>
      </c>
      <c r="F37" s="29">
        <v>19.399999999999999</v>
      </c>
      <c r="G37" s="11">
        <f t="shared" si="0"/>
        <v>26872.100892193881</v>
      </c>
      <c r="H37" s="12">
        <f t="shared" si="1"/>
        <v>5.1546391752577324E-2</v>
      </c>
      <c r="I37" s="11">
        <f>+J36*L28</f>
        <v>26065.937865428063</v>
      </c>
      <c r="J37" s="11">
        <f>IF(L26=81,L27,SUM(J36-G37)+I37)</f>
        <v>520512.59428179538</v>
      </c>
    </row>
    <row r="38" spans="5:10" ht="15.5" thickBot="1" x14ac:dyDescent="0.9">
      <c r="E38" s="30">
        <v>83</v>
      </c>
      <c r="F38" s="31">
        <v>18.5</v>
      </c>
      <c r="G38" s="32">
        <f t="shared" si="0"/>
        <v>28135.815907124073</v>
      </c>
      <c r="H38" s="33">
        <f t="shared" si="1"/>
        <v>5.405405405405405E-2</v>
      </c>
      <c r="I38" s="32">
        <f>+J37*L28</f>
        <v>26025.62971408977</v>
      </c>
      <c r="J38" s="32">
        <f>IF(L26=82,L27,SUM(J37-G38)+I38)</f>
        <v>518402.40808876109</v>
      </c>
    </row>
    <row r="39" spans="5:10" ht="15.5" thickBot="1" x14ac:dyDescent="0.9">
      <c r="E39" s="10">
        <v>84</v>
      </c>
      <c r="F39" s="29">
        <v>17.7</v>
      </c>
      <c r="G39" s="11">
        <f t="shared" si="0"/>
        <v>29288.271643432832</v>
      </c>
      <c r="H39" s="12">
        <f t="shared" si="1"/>
        <v>5.6497175141242945E-2</v>
      </c>
      <c r="I39" s="11">
        <f>+J38*L28</f>
        <v>25920.120404438057</v>
      </c>
      <c r="J39" s="11">
        <f>IF(L26=83,L27,SUM(J38-G39)+I39)</f>
        <v>515034.2568497663</v>
      </c>
    </row>
    <row r="40" spans="5:10" ht="15.5" thickBot="1" x14ac:dyDescent="0.9">
      <c r="E40" s="30">
        <v>85</v>
      </c>
      <c r="F40" s="31">
        <v>16.8</v>
      </c>
      <c r="G40" s="32">
        <f t="shared" si="0"/>
        <v>30656.801002962278</v>
      </c>
      <c r="H40" s="33">
        <f t="shared" si="1"/>
        <v>5.9523809523809521E-2</v>
      </c>
      <c r="I40" s="32">
        <f>+J39*L28</f>
        <v>25751.712842488316</v>
      </c>
      <c r="J40" s="32">
        <f>IF(L26=84,L27,SUM(J39-G40)+I40)</f>
        <v>510129.16868929233</v>
      </c>
    </row>
    <row r="41" spans="5:10" ht="15.5" thickBot="1" x14ac:dyDescent="0.9">
      <c r="E41" s="10">
        <v>86</v>
      </c>
      <c r="F41" s="29">
        <v>16</v>
      </c>
      <c r="G41" s="11">
        <f t="shared" si="0"/>
        <v>31883.073043080771</v>
      </c>
      <c r="H41" s="12">
        <f t="shared" si="1"/>
        <v>6.25E-2</v>
      </c>
      <c r="I41" s="11">
        <f>+J40*L28</f>
        <v>25506.458434464617</v>
      </c>
      <c r="J41" s="11">
        <f>IF(L26=85,L27,SUM(J40-G41)+I41)</f>
        <v>503752.55408067623</v>
      </c>
    </row>
    <row r="42" spans="5:10" ht="15.5" thickBot="1" x14ac:dyDescent="0.9">
      <c r="E42" s="30">
        <v>87</v>
      </c>
      <c r="F42" s="31">
        <v>15.2</v>
      </c>
      <c r="G42" s="32">
        <f t="shared" si="0"/>
        <v>33141.615400044488</v>
      </c>
      <c r="H42" s="33">
        <f t="shared" si="1"/>
        <v>6.5789473684210523E-2</v>
      </c>
      <c r="I42" s="32">
        <f>+J41*L28</f>
        <v>25187.627704033814</v>
      </c>
      <c r="J42" s="32">
        <f>IF(L26=86,L27,SUM(J41-G42)+I42)</f>
        <v>495798.56638466555</v>
      </c>
    </row>
    <row r="43" spans="5:10" ht="15.5" thickBot="1" x14ac:dyDescent="0.9">
      <c r="E43" s="10">
        <v>88</v>
      </c>
      <c r="F43" s="29">
        <v>14.4</v>
      </c>
      <c r="G43" s="11">
        <f t="shared" si="0"/>
        <v>34430.455998935104</v>
      </c>
      <c r="H43" s="12">
        <f t="shared" si="1"/>
        <v>6.9444444444444434E-2</v>
      </c>
      <c r="I43" s="11">
        <f>+J42*L28</f>
        <v>24789.92831923328</v>
      </c>
      <c r="J43" s="11">
        <f>IF(L26=87,L27,SUM(J42-G43)+I43)</f>
        <v>486158.03870496375</v>
      </c>
    </row>
    <row r="44" spans="5:10" ht="15.5" thickBot="1" x14ac:dyDescent="0.9">
      <c r="E44" s="30">
        <v>88</v>
      </c>
      <c r="F44" s="31">
        <v>13.7</v>
      </c>
      <c r="G44" s="32">
        <f t="shared" si="0"/>
        <v>35485.988226639689</v>
      </c>
      <c r="H44" s="33">
        <f t="shared" si="1"/>
        <v>7.2992700729927001E-2</v>
      </c>
      <c r="I44" s="32">
        <f>+J43*L28</f>
        <v>24307.901935248188</v>
      </c>
      <c r="J44" s="32">
        <f>IF(L26=88,L27,SUM(J43-G44)+I44)</f>
        <v>474979.95241357223</v>
      </c>
    </row>
    <row r="45" spans="5:10" ht="15.5" thickBot="1" x14ac:dyDescent="0.9">
      <c r="E45" s="10">
        <v>90</v>
      </c>
      <c r="F45" s="29">
        <v>12.9</v>
      </c>
      <c r="G45" s="11">
        <f t="shared" si="0"/>
        <v>36820.151349889318</v>
      </c>
      <c r="H45" s="12">
        <f t="shared" si="1"/>
        <v>7.7519379844961239E-2</v>
      </c>
      <c r="I45" s="11">
        <f>+J44*L28</f>
        <v>23748.997620678612</v>
      </c>
      <c r="J45" s="11">
        <f>IF(L26=89,L27,SUM(J44-G45)+I45)</f>
        <v>461908.79868436151</v>
      </c>
    </row>
    <row r="46" spans="5:10" ht="15.5" thickBot="1" x14ac:dyDescent="0.9">
      <c r="E46" s="30">
        <v>91</v>
      </c>
      <c r="F46" s="31">
        <v>12.2</v>
      </c>
      <c r="G46" s="32">
        <f t="shared" si="0"/>
        <v>37861.376941341106</v>
      </c>
      <c r="H46" s="33">
        <f t="shared" si="1"/>
        <v>8.1967213114754092E-2</v>
      </c>
      <c r="I46" s="32">
        <f>+J45*L28</f>
        <v>23095.439934218077</v>
      </c>
      <c r="J46" s="32">
        <f>IF(L26=90,L27,SUM(J45-G46)+I46)</f>
        <v>447142.86167723848</v>
      </c>
    </row>
    <row r="47" spans="5:10" ht="15.5" thickBot="1" x14ac:dyDescent="0.9">
      <c r="E47" s="10">
        <v>92</v>
      </c>
      <c r="F47" s="29">
        <v>11.5</v>
      </c>
      <c r="G47" s="11">
        <f t="shared" si="0"/>
        <v>38881.987971933784</v>
      </c>
      <c r="H47" s="12">
        <f t="shared" si="1"/>
        <v>8.6956521739130446E-2</v>
      </c>
      <c r="I47" s="11">
        <f>+J46*L28</f>
        <v>22357.143083861927</v>
      </c>
      <c r="J47" s="11">
        <f>IF(L26=91,L27,SUM(J46-G47)+I47)</f>
        <v>430618.01678916661</v>
      </c>
    </row>
    <row r="48" spans="5:10" ht="15.5" thickBot="1" x14ac:dyDescent="0.9">
      <c r="E48" s="30">
        <v>93</v>
      </c>
      <c r="F48" s="31">
        <v>10.8</v>
      </c>
      <c r="G48" s="32">
        <f t="shared" si="0"/>
        <v>39872.038591589495</v>
      </c>
      <c r="H48" s="33">
        <f t="shared" si="1"/>
        <v>9.2592592592592574E-2</v>
      </c>
      <c r="I48" s="32">
        <f>+J47*L28</f>
        <v>21530.900839458332</v>
      </c>
      <c r="J48" s="32">
        <f>IF(L26=92,L27,SUM(J47-G48)+I48)</f>
        <v>412276.87903703545</v>
      </c>
    </row>
    <row r="49" spans="5:10" ht="15.5" thickBot="1" x14ac:dyDescent="0.9">
      <c r="E49" s="10">
        <v>94</v>
      </c>
      <c r="F49" s="29">
        <v>10.1</v>
      </c>
      <c r="G49" s="11">
        <f t="shared" si="0"/>
        <v>40819.492973963905</v>
      </c>
      <c r="H49" s="12">
        <f t="shared" si="1"/>
        <v>9.9009900990099001E-2</v>
      </c>
      <c r="I49" s="11">
        <f>+J48*L28</f>
        <v>20613.843951851773</v>
      </c>
      <c r="J49" s="11">
        <f>IF(L26=93,L27,SUM(J48-G49)+I49)</f>
        <v>392071.23001492332</v>
      </c>
    </row>
    <row r="50" spans="5:10" ht="15.5" thickBot="1" x14ac:dyDescent="0.9">
      <c r="E50" s="30">
        <v>95</v>
      </c>
      <c r="F50" s="31">
        <v>9.5</v>
      </c>
      <c r="G50" s="32">
        <f t="shared" si="0"/>
        <v>41270.655791044563</v>
      </c>
      <c r="H50" s="33">
        <f t="shared" si="1"/>
        <v>0.10526315789473685</v>
      </c>
      <c r="I50" s="32">
        <f>+J49*L28</f>
        <v>19603.561500746167</v>
      </c>
      <c r="J50" s="32">
        <f>IF(L26=94,L27,SUM(J49-G50)+I50)</f>
        <v>370404.13572462491</v>
      </c>
    </row>
    <row r="51" spans="5:10" ht="15.5" thickBot="1" x14ac:dyDescent="0.9">
      <c r="E51" s="10">
        <v>96</v>
      </c>
      <c r="F51" s="29">
        <v>8.9</v>
      </c>
      <c r="G51" s="11">
        <f t="shared" si="0"/>
        <v>41618.44221624999</v>
      </c>
      <c r="H51" s="12">
        <f t="shared" si="1"/>
        <v>0.11235955056179775</v>
      </c>
      <c r="I51" s="11">
        <f>+J50*L28</f>
        <v>18520.206786231247</v>
      </c>
      <c r="J51" s="11">
        <f>IF(L26=95,L27,SUM(J50-G51)+I51)</f>
        <v>347305.90029460617</v>
      </c>
    </row>
    <row r="52" spans="5:10" ht="15.5" thickBot="1" x14ac:dyDescent="0.9">
      <c r="E52" s="30">
        <v>97</v>
      </c>
      <c r="F52" s="31">
        <v>8.4</v>
      </c>
      <c r="G52" s="32">
        <f t="shared" si="0"/>
        <v>41345.940511262634</v>
      </c>
      <c r="H52" s="33">
        <f t="shared" si="1"/>
        <v>0.11904761904761903</v>
      </c>
      <c r="I52" s="32">
        <f>+J51*L28</f>
        <v>17365.295014730309</v>
      </c>
      <c r="J52" s="32">
        <f>IF(L26=96,L27,SUM(J51-G52)+I52)</f>
        <v>323325.25479807385</v>
      </c>
    </row>
    <row r="53" spans="5:10" ht="15.5" thickBot="1" x14ac:dyDescent="0.9">
      <c r="E53" s="10">
        <v>98</v>
      </c>
      <c r="F53" s="29">
        <v>7.8</v>
      </c>
      <c r="G53" s="11">
        <f t="shared" si="0"/>
        <v>41451.955743342798</v>
      </c>
      <c r="H53" s="12">
        <f t="shared" si="1"/>
        <v>0.12820512820512819</v>
      </c>
      <c r="I53" s="11">
        <f>+J52*L28</f>
        <v>16166.262739903694</v>
      </c>
      <c r="J53" s="11">
        <f>IF(L26=97,L27,SUM(J52-G53)+I53)</f>
        <v>298039.56179463473</v>
      </c>
    </row>
    <row r="54" spans="5:10" ht="15.5" thickBot="1" x14ac:dyDescent="0.9">
      <c r="E54" s="30">
        <v>99</v>
      </c>
      <c r="F54" s="31">
        <v>7.3</v>
      </c>
      <c r="G54" s="32">
        <f t="shared" si="0"/>
        <v>40827.337232141748</v>
      </c>
      <c r="H54" s="33">
        <f t="shared" si="1"/>
        <v>0.13698630136986303</v>
      </c>
      <c r="I54" s="32">
        <f>+J53*L28</f>
        <v>14901.978089731738</v>
      </c>
      <c r="J54" s="32">
        <f>IF(L26=98,L27,SUM(J53-G54)+I54)</f>
        <v>272114.20265222469</v>
      </c>
    </row>
    <row r="55" spans="5:10" ht="15.5" thickBot="1" x14ac:dyDescent="0.9">
      <c r="E55" s="10">
        <v>100</v>
      </c>
      <c r="F55" s="29">
        <v>6.8</v>
      </c>
      <c r="G55" s="11">
        <f t="shared" si="0"/>
        <v>40016.794507680104</v>
      </c>
      <c r="H55" s="12">
        <f t="shared" si="1"/>
        <v>0.14705882352941177</v>
      </c>
      <c r="I55" s="11">
        <f>+J54*L28</f>
        <v>13605.710132611235</v>
      </c>
      <c r="J55" s="11">
        <f>IF(L26=99,L27,SUM(J54-G55)+I55)</f>
        <v>245703.11827715582</v>
      </c>
    </row>
    <row r="56" spans="5:10" ht="15.5" thickBot="1" x14ac:dyDescent="0.9">
      <c r="E56" s="30">
        <v>101</v>
      </c>
      <c r="F56" s="31">
        <v>6.4</v>
      </c>
      <c r="G56" s="32">
        <f t="shared" si="0"/>
        <v>38391.112230805593</v>
      </c>
      <c r="H56" s="33">
        <f t="shared" si="1"/>
        <v>0.15624999999999997</v>
      </c>
      <c r="I56" s="32">
        <f>+J55*L28</f>
        <v>12285.155913857792</v>
      </c>
      <c r="J56" s="32">
        <f>IF(L26=100,L27,SUM(J55-G56)+I56)</f>
        <v>219597.16196020803</v>
      </c>
    </row>
    <row r="57" spans="5:10" ht="15.5" thickBot="1" x14ac:dyDescent="0.9">
      <c r="E57" s="10">
        <v>102</v>
      </c>
      <c r="F57" s="29">
        <v>6</v>
      </c>
      <c r="G57" s="11">
        <f t="shared" si="0"/>
        <v>36599.526993368003</v>
      </c>
      <c r="H57" s="12">
        <f t="shared" si="1"/>
        <v>0.16666666666666666</v>
      </c>
      <c r="I57" s="11">
        <f>+J56*L28</f>
        <v>10979.858098010402</v>
      </c>
      <c r="J57" s="11">
        <f>IF(L26=101,L27,SUM(J56-G57)+I57)</f>
        <v>193977.49306485045</v>
      </c>
    </row>
    <row r="58" spans="5:10" ht="15.5" thickBot="1" x14ac:dyDescent="0.9">
      <c r="E58" s="30">
        <v>103</v>
      </c>
      <c r="F58" s="31">
        <v>5.6</v>
      </c>
      <c r="G58" s="32">
        <f t="shared" si="0"/>
        <v>34638.838047294725</v>
      </c>
      <c r="H58" s="33">
        <f t="shared" si="1"/>
        <v>0.17857142857142858</v>
      </c>
      <c r="I58" s="32">
        <f>+J57*L28</f>
        <v>9698.874653242523</v>
      </c>
      <c r="J58" s="32">
        <f>IF(L26=102,L27,SUM(J57-G58)+I58)</f>
        <v>169037.52967079825</v>
      </c>
    </row>
    <row r="59" spans="5:10" ht="15.5" thickBot="1" x14ac:dyDescent="0.9">
      <c r="E59" s="10">
        <v>104</v>
      </c>
      <c r="F59" s="29">
        <v>5.2</v>
      </c>
      <c r="G59" s="11">
        <f t="shared" si="0"/>
        <v>32507.217244384279</v>
      </c>
      <c r="H59" s="12">
        <f t="shared" si="1"/>
        <v>0.19230769230769232</v>
      </c>
      <c r="I59" s="11">
        <f>+J58*L28</f>
        <v>8451.8764835399124</v>
      </c>
      <c r="J59" s="11">
        <f>IF(L26=103,L27,SUM(J58-G59)+I59)</f>
        <v>144982.18890995387</v>
      </c>
    </row>
    <row r="60" spans="5:10" ht="15.5" thickBot="1" x14ac:dyDescent="0.9">
      <c r="E60" s="30">
        <v>105</v>
      </c>
      <c r="F60" s="31">
        <v>4.9000000000000004</v>
      </c>
      <c r="G60" s="32">
        <f t="shared" si="0"/>
        <v>29588.201818357931</v>
      </c>
      <c r="H60" s="33">
        <f t="shared" si="1"/>
        <v>0.20408163265306123</v>
      </c>
      <c r="I60" s="32">
        <f>+J59*L28</f>
        <v>7249.1094454976937</v>
      </c>
      <c r="J60" s="32">
        <f>IF(L26=104,L27,SUM(J59-G60)+I60)</f>
        <v>122643.09653709363</v>
      </c>
    </row>
    <row r="61" spans="5:10" ht="15.5" thickBot="1" x14ac:dyDescent="0.9">
      <c r="E61" s="10">
        <v>106</v>
      </c>
      <c r="F61" s="29">
        <v>4.5999999999999996</v>
      </c>
      <c r="G61" s="11">
        <f t="shared" si="0"/>
        <v>26661.54272545514</v>
      </c>
      <c r="H61" s="12">
        <f t="shared" si="1"/>
        <v>0.21739130434782611</v>
      </c>
      <c r="I61" s="11">
        <f>+J60*L28</f>
        <v>6132.1548268546821</v>
      </c>
      <c r="J61" s="11">
        <f>IF(L26=105,L27,SUM(J60-G61)+I61)</f>
        <v>102113.70863849318</v>
      </c>
    </row>
    <row r="62" spans="5:10" ht="15.5" thickBot="1" x14ac:dyDescent="0.9">
      <c r="E62" s="30">
        <v>107</v>
      </c>
      <c r="F62" s="31">
        <v>4.3</v>
      </c>
      <c r="G62" s="32">
        <f t="shared" si="0"/>
        <v>23747.374101975158</v>
      </c>
      <c r="H62" s="33">
        <f t="shared" si="1"/>
        <v>0.23255813953488372</v>
      </c>
      <c r="I62" s="32">
        <f>+J61*L28</f>
        <v>5105.6854319246595</v>
      </c>
      <c r="J62" s="32">
        <f>IF(L26=106,L27,SUM(J61-G62)+I62)</f>
        <v>83472.019968442677</v>
      </c>
    </row>
    <row r="63" spans="5:10" ht="15.5" thickBot="1" x14ac:dyDescent="0.9">
      <c r="E63" s="10">
        <v>108</v>
      </c>
      <c r="F63" s="29">
        <v>4.0999999999999996</v>
      </c>
      <c r="G63" s="11">
        <f t="shared" si="0"/>
        <v>20359.029260595777</v>
      </c>
      <c r="H63" s="12">
        <f t="shared" si="1"/>
        <v>0.24390243902439027</v>
      </c>
      <c r="I63" s="11">
        <f>+J62*L28</f>
        <v>4173.6009984221337</v>
      </c>
      <c r="J63" s="11">
        <f>IF(L26=107,L27,SUM(J62-G63)+I63)</f>
        <v>67286.591706269028</v>
      </c>
    </row>
    <row r="64" spans="5:10" ht="15.5" thickBot="1" x14ac:dyDescent="0.9">
      <c r="E64" s="30">
        <v>109</v>
      </c>
      <c r="F64" s="31">
        <v>3.9</v>
      </c>
      <c r="G64" s="32">
        <f t="shared" si="0"/>
        <v>17252.972232376673</v>
      </c>
      <c r="H64" s="33">
        <f t="shared" si="1"/>
        <v>0.25641025641025639</v>
      </c>
      <c r="I64" s="32">
        <f>+J63*L28</f>
        <v>3364.3295853134514</v>
      </c>
      <c r="J64" s="32">
        <f>IF(L26=108,L27,SUM(J63-G64)+I64)</f>
        <v>53397.949059205799</v>
      </c>
    </row>
    <row r="65" spans="5:10" ht="15.5" thickBot="1" x14ac:dyDescent="0.9">
      <c r="E65" s="10">
        <v>110</v>
      </c>
      <c r="F65" s="29">
        <v>3.7</v>
      </c>
      <c r="G65" s="11">
        <f t="shared" si="0"/>
        <v>14431.878124109675</v>
      </c>
      <c r="H65" s="12">
        <f t="shared" si="1"/>
        <v>0.27027027027027029</v>
      </c>
      <c r="I65" s="11">
        <f>+J64*L28</f>
        <v>2669.8974529602901</v>
      </c>
      <c r="J65" s="11">
        <f>IF(L26=109,L27,SUM(J64-G65)+I65)</f>
        <v>41635.968388056419</v>
      </c>
    </row>
    <row r="66" spans="5:10" ht="15.5" thickBot="1" x14ac:dyDescent="0.9">
      <c r="E66" s="30">
        <v>111</v>
      </c>
      <c r="F66" s="31">
        <v>3.5</v>
      </c>
      <c r="G66" s="32">
        <f t="shared" si="0"/>
        <v>11895.99096801612</v>
      </c>
      <c r="H66" s="33">
        <f t="shared" si="1"/>
        <v>0.2857142857142857</v>
      </c>
      <c r="I66" s="32">
        <f>+J65*L28</f>
        <v>2081.7984194028209</v>
      </c>
      <c r="J66" s="32">
        <f>IF(L26=110,L27,SUM(J65-G66)+I66)</f>
        <v>31821.775839443118</v>
      </c>
    </row>
    <row r="67" spans="5:10" ht="15.5" thickBot="1" x14ac:dyDescent="0.9">
      <c r="E67" s="10">
        <v>112</v>
      </c>
      <c r="F67" s="29">
        <v>3.4</v>
      </c>
      <c r="G67" s="11">
        <f t="shared" si="0"/>
        <v>9359.3458351303289</v>
      </c>
      <c r="H67" s="12">
        <f t="shared" si="1"/>
        <v>0.29411764705882354</v>
      </c>
      <c r="I67" s="11">
        <f>+J66*L28</f>
        <v>1591.0887919721561</v>
      </c>
      <c r="J67" s="11">
        <f>IF(L26=111,L27,SUM(J66-G67)+I67)</f>
        <v>24053.518796284945</v>
      </c>
    </row>
    <row r="68" spans="5:10" ht="15.5" thickBot="1" x14ac:dyDescent="0.9">
      <c r="E68" s="30">
        <v>113</v>
      </c>
      <c r="F68" s="31">
        <v>3.3</v>
      </c>
      <c r="G68" s="32">
        <f t="shared" si="0"/>
        <v>7288.9450897833167</v>
      </c>
      <c r="H68" s="33">
        <f t="shared" si="1"/>
        <v>0.30303030303030304</v>
      </c>
      <c r="I68" s="32">
        <f>+J67*L28</f>
        <v>1202.6759398142474</v>
      </c>
      <c r="J68" s="32">
        <f>IF(L26=112,L27,SUM(J67-G68)+I68)</f>
        <v>17967.249646315875</v>
      </c>
    </row>
    <row r="69" spans="5:10" ht="15.5" thickBot="1" x14ac:dyDescent="0.9">
      <c r="E69" s="10">
        <v>114</v>
      </c>
      <c r="F69" s="29">
        <v>3.1</v>
      </c>
      <c r="G69" s="11">
        <f t="shared" si="0"/>
        <v>5795.8869826825403</v>
      </c>
      <c r="H69" s="12">
        <f t="shared" si="1"/>
        <v>0.32258064516129031</v>
      </c>
      <c r="I69" s="11">
        <f>+J68*L28</f>
        <v>898.36248231579384</v>
      </c>
      <c r="J69" s="11">
        <f>IF(L26=113,L27,SUM(J68-G69)+I69)</f>
        <v>13069.725145949129</v>
      </c>
    </row>
    <row r="70" spans="5:10" ht="15.5" thickBot="1" x14ac:dyDescent="0.9">
      <c r="E70" s="30">
        <v>115</v>
      </c>
      <c r="F70" s="31">
        <v>3</v>
      </c>
      <c r="G70" s="32">
        <f t="shared" si="0"/>
        <v>4356.57504864971</v>
      </c>
      <c r="H70" s="33">
        <f t="shared" si="1"/>
        <v>0.33333333333333337</v>
      </c>
      <c r="I70" s="32">
        <f>+J69*L28</f>
        <v>653.48625729745652</v>
      </c>
      <c r="J70" s="32">
        <f>IF(L26=114,L27,SUM(J69-G70)+I70)</f>
        <v>9366.6363545968743</v>
      </c>
    </row>
    <row r="71" spans="5:10" ht="15.5" thickBot="1" x14ac:dyDescent="0.9">
      <c r="E71" s="10">
        <v>116</v>
      </c>
      <c r="F71" s="29">
        <v>2.9</v>
      </c>
      <c r="G71" s="11">
        <f t="shared" si="0"/>
        <v>3229.8746050334048</v>
      </c>
      <c r="H71" s="12">
        <f t="shared" si="1"/>
        <v>0.34482758620689652</v>
      </c>
      <c r="I71" s="11">
        <f>+J70*L28</f>
        <v>468.33181772984375</v>
      </c>
      <c r="J71" s="11">
        <f>IF(L26=115,L27,SUM(J70-G71)+I71)</f>
        <v>6605.0935672933128</v>
      </c>
    </row>
    <row r="72" spans="5:10" ht="15.5" thickBot="1" x14ac:dyDescent="0.9">
      <c r="E72" s="30">
        <v>117</v>
      </c>
      <c r="F72" s="31">
        <v>2.8</v>
      </c>
      <c r="G72" s="32">
        <f t="shared" si="0"/>
        <v>2358.9619883190403</v>
      </c>
      <c r="H72" s="33">
        <f t="shared" si="1"/>
        <v>0.35714285714285715</v>
      </c>
      <c r="I72" s="32">
        <f>+J71*L28</f>
        <v>330.25467836466566</v>
      </c>
      <c r="J72" s="32">
        <f>IF(L26=116,L27,SUM(J71-G72)+I72)</f>
        <v>4576.3862573389388</v>
      </c>
    </row>
    <row r="73" spans="5:10" ht="15.5" thickBot="1" x14ac:dyDescent="0.9">
      <c r="E73" s="10">
        <v>118</v>
      </c>
      <c r="F73" s="13">
        <v>2.7</v>
      </c>
      <c r="G73" s="11">
        <f t="shared" si="0"/>
        <v>1694.9578730884957</v>
      </c>
      <c r="H73" s="12">
        <f t="shared" si="1"/>
        <v>0.37037037037037035</v>
      </c>
      <c r="I73" s="11">
        <f>+J72*L28</f>
        <v>228.81931286694694</v>
      </c>
      <c r="J73" s="11">
        <f>SUM(J72-G73)</f>
        <v>2881.4283842504428</v>
      </c>
    </row>
    <row r="74" spans="5:10" ht="15.5" thickBot="1" x14ac:dyDescent="0.9">
      <c r="E74" s="30">
        <v>119</v>
      </c>
      <c r="F74" s="31">
        <v>2.5</v>
      </c>
      <c r="G74" s="32">
        <f>+J73/F74</f>
        <v>1152.571353700177</v>
      </c>
      <c r="H74" s="33">
        <f t="shared" si="1"/>
        <v>0.39999999999999997</v>
      </c>
      <c r="I74" s="32">
        <f>+J73*L28</f>
        <v>144.07141921252216</v>
      </c>
      <c r="J74" s="32">
        <f>IF(L28=116,L29,SUM(J73-G74)+I74)</f>
        <v>1872.928449762788</v>
      </c>
    </row>
    <row r="75" spans="5:10" ht="15.5" thickBot="1" x14ac:dyDescent="0.9">
      <c r="E75" s="10">
        <v>120</v>
      </c>
      <c r="F75" s="13">
        <v>2.2999999999999998</v>
      </c>
      <c r="G75" s="11">
        <f t="shared" si="0"/>
        <v>814.31671728816877</v>
      </c>
      <c r="H75" s="12">
        <f t="shared" si="1"/>
        <v>0.43478260869565222</v>
      </c>
      <c r="I75" s="11">
        <f>+J74*L28</f>
        <v>93.646422488139407</v>
      </c>
      <c r="J75" s="11">
        <f>IF(L30=115,L31,SUM(J74-G75)+I75)</f>
        <v>1152.2581549627587</v>
      </c>
    </row>
    <row r="76" spans="5:10" ht="26.75" thickBot="1" x14ac:dyDescent="0.9">
      <c r="E76" s="30" t="s">
        <v>26</v>
      </c>
      <c r="F76" s="31">
        <v>2</v>
      </c>
      <c r="G76" s="32">
        <f>+J75/F76</f>
        <v>576.12907748137934</v>
      </c>
      <c r="H76" s="33">
        <f t="shared" si="1"/>
        <v>0.5</v>
      </c>
      <c r="I76" s="32">
        <f>+J75*L28</f>
        <v>57.612907748137935</v>
      </c>
      <c r="J76" s="32">
        <f>IF(L30=116,L31,SUM(J75-G76)+I76)</f>
        <v>633.74198522951724</v>
      </c>
    </row>
  </sheetData>
  <mergeCells count="17">
    <mergeCell ref="M26:O26"/>
    <mergeCell ref="J25:J27"/>
    <mergeCell ref="E25:E27"/>
    <mergeCell ref="F25:F27"/>
    <mergeCell ref="G25:G27"/>
    <mergeCell ref="H25:H27"/>
    <mergeCell ref="I25:I27"/>
    <mergeCell ref="L25:N25"/>
    <mergeCell ref="B21:N21"/>
    <mergeCell ref="B9:N9"/>
    <mergeCell ref="B10:N10"/>
    <mergeCell ref="B2:N2"/>
    <mergeCell ref="B7:N8"/>
    <mergeCell ref="B16:N19"/>
    <mergeCell ref="B12:N14"/>
    <mergeCell ref="B3:O3"/>
    <mergeCell ref="B5:O5"/>
  </mergeCells>
  <conditionalFormatting sqref="E28:J28 E30:J30">
    <cfRule type="expression" dxfId="48" priority="181">
      <formula>$L$26&gt;$E$30</formula>
    </cfRule>
  </conditionalFormatting>
  <conditionalFormatting sqref="E29:J29">
    <cfRule type="expression" dxfId="47" priority="180">
      <formula>$L$26&gt;$E$29</formula>
    </cfRule>
  </conditionalFormatting>
  <conditionalFormatting sqref="E31:J31">
    <cfRule type="expression" dxfId="46" priority="182">
      <formula>$L$26&gt;$E$31</formula>
    </cfRule>
  </conditionalFormatting>
  <conditionalFormatting sqref="E32:J32">
    <cfRule type="expression" dxfId="45" priority="183">
      <formula>$L$26&gt;$E$32</formula>
    </cfRule>
  </conditionalFormatting>
  <conditionalFormatting sqref="E33:J33">
    <cfRule type="expression" dxfId="44" priority="184">
      <formula>$L$26&gt;$E$33</formula>
    </cfRule>
  </conditionalFormatting>
  <conditionalFormatting sqref="E34:J34">
    <cfRule type="expression" dxfId="43" priority="152">
      <formula>$L$26&gt;$E$34</formula>
    </cfRule>
  </conditionalFormatting>
  <conditionalFormatting sqref="E35:J35">
    <cfRule type="expression" dxfId="42" priority="151">
      <formula>$L$26&gt;$E$35</formula>
    </cfRule>
  </conditionalFormatting>
  <conditionalFormatting sqref="E36:J36">
    <cfRule type="expression" dxfId="41" priority="150">
      <formula>$L$26&gt;$E$36</formula>
    </cfRule>
  </conditionalFormatting>
  <conditionalFormatting sqref="E37:J37">
    <cfRule type="expression" dxfId="40" priority="149">
      <formula>$L$26&gt;$E$37</formula>
    </cfRule>
  </conditionalFormatting>
  <conditionalFormatting sqref="E38:J38">
    <cfRule type="expression" dxfId="39" priority="148">
      <formula>$L$26&gt;$E$38</formula>
    </cfRule>
  </conditionalFormatting>
  <conditionalFormatting sqref="E39:J39">
    <cfRule type="expression" dxfId="38" priority="147">
      <formula>$L$26&gt;$E$39</formula>
    </cfRule>
  </conditionalFormatting>
  <conditionalFormatting sqref="E40:J40">
    <cfRule type="expression" dxfId="37" priority="146">
      <formula>$L$26&gt;$E$40</formula>
    </cfRule>
  </conditionalFormatting>
  <conditionalFormatting sqref="E41:J41">
    <cfRule type="expression" dxfId="36" priority="144">
      <formula>$L$26&gt;$E41</formula>
    </cfRule>
  </conditionalFormatting>
  <conditionalFormatting sqref="E42:J42">
    <cfRule type="expression" dxfId="35" priority="143">
      <formula>$L$26&gt;$E$42</formula>
    </cfRule>
  </conditionalFormatting>
  <conditionalFormatting sqref="E43:J43">
    <cfRule type="expression" dxfId="34" priority="142">
      <formula>$L$26&gt;$E$43</formula>
    </cfRule>
  </conditionalFormatting>
  <conditionalFormatting sqref="E44:J44">
    <cfRule type="expression" dxfId="33" priority="141">
      <formula>$L$26&gt;$E$44</formula>
    </cfRule>
  </conditionalFormatting>
  <conditionalFormatting sqref="E45:J45">
    <cfRule type="expression" dxfId="32" priority="140">
      <formula>$L$26&gt;$E$45</formula>
    </cfRule>
  </conditionalFormatting>
  <conditionalFormatting sqref="E46:J46">
    <cfRule type="expression" dxfId="31" priority="139">
      <formula>$L$26&gt;$E$46</formula>
    </cfRule>
  </conditionalFormatting>
  <conditionalFormatting sqref="E47:J47">
    <cfRule type="expression" dxfId="30" priority="138">
      <formula>$L$26&gt;$E$47</formula>
    </cfRule>
  </conditionalFormatting>
  <conditionalFormatting sqref="E48:J48">
    <cfRule type="expression" dxfId="29" priority="137">
      <formula>$L$26&gt;$E$48</formula>
    </cfRule>
  </conditionalFormatting>
  <conditionalFormatting sqref="E49:J49">
    <cfRule type="expression" dxfId="28" priority="135">
      <formula>$L$26&gt;$E$49</formula>
    </cfRule>
  </conditionalFormatting>
  <conditionalFormatting sqref="E50:J50">
    <cfRule type="expression" dxfId="27" priority="134">
      <formula>$L$26&gt;$E$50</formula>
    </cfRule>
  </conditionalFormatting>
  <conditionalFormatting sqref="E51:J51">
    <cfRule type="expression" dxfId="26" priority="133">
      <formula>$L$26&gt;$E$51</formula>
    </cfRule>
  </conditionalFormatting>
  <conditionalFormatting sqref="E52:J52">
    <cfRule type="expression" dxfId="25" priority="132">
      <formula>$L$26&gt;$E$52</formula>
    </cfRule>
  </conditionalFormatting>
  <conditionalFormatting sqref="E53:J53">
    <cfRule type="expression" dxfId="24" priority="131">
      <formula>$L$26&gt;$E$53</formula>
    </cfRule>
  </conditionalFormatting>
  <conditionalFormatting sqref="E54:J54">
    <cfRule type="expression" dxfId="23" priority="130">
      <formula>$L$26&gt;$E$54</formula>
    </cfRule>
  </conditionalFormatting>
  <conditionalFormatting sqref="E55:J55">
    <cfRule type="expression" dxfId="22" priority="129">
      <formula>$L$26&gt;$E$55</formula>
    </cfRule>
  </conditionalFormatting>
  <conditionalFormatting sqref="E56:J56">
    <cfRule type="expression" dxfId="21" priority="128">
      <formula>$L$26&gt;$E$56</formula>
    </cfRule>
  </conditionalFormatting>
  <conditionalFormatting sqref="E57:J57">
    <cfRule type="expression" dxfId="20" priority="127">
      <formula>$L$26&gt;$E$57</formula>
    </cfRule>
  </conditionalFormatting>
  <conditionalFormatting sqref="E58:J58">
    <cfRule type="expression" dxfId="19" priority="125">
      <formula>$L$26&gt;$E$58</formula>
    </cfRule>
  </conditionalFormatting>
  <conditionalFormatting sqref="E59:J59">
    <cfRule type="expression" dxfId="18" priority="126">
      <formula>$L$26&gt;$E$59</formula>
    </cfRule>
  </conditionalFormatting>
  <conditionalFormatting sqref="E60:J60">
    <cfRule type="expression" dxfId="17" priority="124">
      <formula>$L$26&gt;$E$60</formula>
    </cfRule>
  </conditionalFormatting>
  <conditionalFormatting sqref="E61:J61">
    <cfRule type="expression" dxfId="16" priority="123">
      <formula>$L$26&gt;$E$61</formula>
    </cfRule>
  </conditionalFormatting>
  <conditionalFormatting sqref="E62:J62">
    <cfRule type="expression" dxfId="15" priority="122">
      <formula>$L$26&gt;$E$62</formula>
    </cfRule>
  </conditionalFormatting>
  <conditionalFormatting sqref="E63:J63">
    <cfRule type="expression" dxfId="14" priority="121">
      <formula>$L$26&gt;$E$63</formula>
    </cfRule>
  </conditionalFormatting>
  <conditionalFormatting sqref="E64:J64">
    <cfRule type="expression" dxfId="13" priority="120">
      <formula>$L$26&gt;$E$64</formula>
    </cfRule>
  </conditionalFormatting>
  <conditionalFormatting sqref="E65:J65">
    <cfRule type="expression" dxfId="12" priority="119">
      <formula>$L$26&gt;$E$65</formula>
    </cfRule>
  </conditionalFormatting>
  <conditionalFormatting sqref="E66:J66">
    <cfRule type="expression" dxfId="11" priority="118">
      <formula>$L$26&gt;$E$66</formula>
    </cfRule>
  </conditionalFormatting>
  <conditionalFormatting sqref="E67:J67">
    <cfRule type="expression" dxfId="10" priority="117">
      <formula>$L$26&gt;$E$67</formula>
    </cfRule>
  </conditionalFormatting>
  <conditionalFormatting sqref="E68:J68">
    <cfRule type="expression" dxfId="9" priority="116">
      <formula>$L$26&gt;$E$68</formula>
    </cfRule>
  </conditionalFormatting>
  <conditionalFormatting sqref="E69:J69">
    <cfRule type="expression" dxfId="8" priority="115">
      <formula>$L$26&gt;$E$69</formula>
    </cfRule>
  </conditionalFormatting>
  <conditionalFormatting sqref="E70:J70">
    <cfRule type="expression" dxfId="7" priority="114">
      <formula>$L$26&gt;$E$70</formula>
    </cfRule>
  </conditionalFormatting>
  <conditionalFormatting sqref="E71:J71">
    <cfRule type="expression" dxfId="6" priority="15">
      <formula>$L$26&gt;115</formula>
    </cfRule>
  </conditionalFormatting>
  <conditionalFormatting sqref="E72:J72 E74:J74 E76:H76 J76">
    <cfRule type="expression" dxfId="5" priority="112">
      <formula>$L$26&gt;$E$72</formula>
    </cfRule>
  </conditionalFormatting>
  <conditionalFormatting sqref="G73">
    <cfRule type="expression" dxfId="4" priority="7">
      <formula>$L$26&gt;115</formula>
    </cfRule>
  </conditionalFormatting>
  <conditionalFormatting sqref="G75">
    <cfRule type="expression" dxfId="3" priority="1">
      <formula>$L$26&gt;115</formula>
    </cfRule>
  </conditionalFormatting>
  <conditionalFormatting sqref="I73">
    <cfRule type="expression" dxfId="2" priority="4">
      <formula>$L$26&gt;115</formula>
    </cfRule>
  </conditionalFormatting>
  <conditionalFormatting sqref="I76">
    <cfRule type="expression" dxfId="1" priority="2">
      <formula>$L$26&gt;$E$70</formula>
    </cfRule>
  </conditionalFormatting>
  <conditionalFormatting sqref="I75:J75">
    <cfRule type="expression" dxfId="0" priority="3">
      <formula>$L$26&gt;115</formula>
    </cfRule>
  </conditionalFormatting>
  <hyperlinks>
    <hyperlink ref="I4" r:id="rId1" xr:uid="{00000000-0004-0000-0000-000000000000}"/>
  </hyperlinks>
  <pageMargins left="0.45" right="0" top="0.2" bottom="0.2" header="0" footer="0"/>
  <pageSetup scale="65" orientation="portrait" r:id="rId2"/>
  <ignoredErrors>
    <ignoredError sqref="H28 J73 J7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75" x14ac:dyDescent="0.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75" x14ac:dyDescent="0.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 Goldhamer</dc:creator>
  <cp:lastModifiedBy>John Goldhamer</cp:lastModifiedBy>
  <cp:lastPrinted>2022-01-22T17:25:29Z</cp:lastPrinted>
  <dcterms:created xsi:type="dcterms:W3CDTF">2017-09-13T15:37:03Z</dcterms:created>
  <dcterms:modified xsi:type="dcterms:W3CDTF">2023-06-18T17:28:07Z</dcterms:modified>
</cp:coreProperties>
</file>