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https://d.docs.live.net/aee21b4521b5e3d7/Documents/23 Individual Income Tax/IRS Required Minimum Distributions/RMD 73 starting 1-1-23/"/>
    </mc:Choice>
  </mc:AlternateContent>
  <xr:revisionPtr revIDLastSave="73" documentId="8_{0CE21005-3687-4ECD-9BDA-5D344D4F0C26}" xr6:coauthVersionLast="47" xr6:coauthVersionMax="47" xr10:uidLastSave="{9AB2804C-3412-4EC2-BBEB-7D6B8F01831D}"/>
  <bookViews>
    <workbookView xWindow="-90" yWindow="-90" windowWidth="19380" windowHeight="10260" xr2:uid="{00000000-000D-0000-FFFF-FFFF00000000}"/>
  </bookViews>
  <sheets>
    <sheet name="Sheet1" sheetId="1" r:id="rId1"/>
    <sheet name="Sheet2" sheetId="2" r:id="rId2"/>
    <sheet name="Sheet3" sheetId="3" r:id="rId3"/>
  </sheets>
  <definedNames>
    <definedName name="_xlnm.Print_Area" localSheetId="0">Sheet1!$A$1:$O$76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8" i="1" l="1"/>
  <c r="G28" i="1"/>
  <c r="I28" i="1"/>
  <c r="H28" i="1" l="1"/>
  <c r="J23" i="1" l="1"/>
  <c r="G23" i="1" s="1"/>
  <c r="I23" i="1" l="1"/>
  <c r="H23" i="1"/>
  <c r="I29" i="1" l="1"/>
  <c r="G29" i="1" l="1"/>
  <c r="J29" i="1" s="1"/>
  <c r="G30" i="1" l="1"/>
  <c r="H29" i="1"/>
  <c r="I30" i="1" l="1"/>
  <c r="J30" i="1" s="1"/>
  <c r="H30" i="1"/>
  <c r="I31" i="1" l="1"/>
  <c r="G31" i="1"/>
  <c r="H31" i="1" s="1"/>
  <c r="J31" i="1" l="1"/>
  <c r="I32" i="1" s="1"/>
  <c r="G32" i="1" l="1"/>
  <c r="H32" i="1" s="1"/>
  <c r="J32" i="1" l="1"/>
  <c r="I33" i="1" s="1"/>
  <c r="G33" i="1" l="1"/>
  <c r="H33" i="1" s="1"/>
  <c r="J33" i="1" l="1"/>
  <c r="G34" i="1" s="1"/>
  <c r="H34" i="1" s="1"/>
  <c r="I34" i="1" l="1"/>
  <c r="J34" i="1" s="1"/>
  <c r="I35" i="1" s="1"/>
  <c r="G35" i="1" l="1"/>
  <c r="H35" i="1" s="1"/>
  <c r="J35" i="1" l="1"/>
  <c r="G36" i="1" s="1"/>
  <c r="H36" i="1" l="1"/>
  <c r="I36" i="1"/>
  <c r="J36" i="1" s="1"/>
  <c r="I37" i="1" l="1"/>
  <c r="G37" i="1"/>
  <c r="H37" i="1" s="1"/>
  <c r="J37" i="1" l="1"/>
  <c r="I38" i="1" s="1"/>
  <c r="G38" i="1" l="1"/>
  <c r="J38" i="1" s="1"/>
  <c r="G39" i="1" l="1"/>
  <c r="H39" i="1" s="1"/>
  <c r="H38" i="1"/>
  <c r="I39" i="1" l="1"/>
  <c r="J39" i="1" s="1"/>
  <c r="G40" i="1" l="1"/>
  <c r="H40" i="1" s="1"/>
  <c r="I40" i="1"/>
  <c r="J40" i="1" l="1"/>
  <c r="G41" i="1" s="1"/>
  <c r="I41" i="1" l="1"/>
  <c r="J41" i="1" s="1"/>
  <c r="H41" i="1"/>
  <c r="I42" i="1" l="1"/>
  <c r="G42" i="1"/>
  <c r="H42" i="1" s="1"/>
  <c r="J42" i="1" l="1"/>
  <c r="I43" i="1" s="1"/>
  <c r="G43" i="1" l="1"/>
  <c r="H43" i="1" s="1"/>
  <c r="J43" i="1" l="1"/>
  <c r="G44" i="1" s="1"/>
  <c r="H44" i="1" s="1"/>
  <c r="I44" i="1" l="1"/>
  <c r="J44" i="1" s="1"/>
  <c r="G45" i="1" s="1"/>
  <c r="H45" i="1" s="1"/>
  <c r="I45" i="1" l="1"/>
  <c r="J45" i="1" s="1"/>
  <c r="I46" i="1" l="1"/>
  <c r="G46" i="1"/>
  <c r="H46" i="1" s="1"/>
  <c r="J46" i="1" l="1"/>
  <c r="G47" i="1" l="1"/>
  <c r="H47" i="1" s="1"/>
  <c r="I47" i="1"/>
  <c r="J47" i="1" l="1"/>
  <c r="G48" i="1" s="1"/>
  <c r="H48" i="1" s="1"/>
  <c r="I48" i="1" l="1"/>
  <c r="J48" i="1" s="1"/>
  <c r="G49" i="1" l="1"/>
  <c r="H49" i="1" s="1"/>
  <c r="I49" i="1"/>
  <c r="J49" i="1" l="1"/>
  <c r="I50" i="1" l="1"/>
  <c r="G50" i="1"/>
  <c r="H50" i="1" s="1"/>
  <c r="J50" i="1" l="1"/>
  <c r="I51" i="1" l="1"/>
  <c r="G51" i="1"/>
  <c r="H51" i="1" s="1"/>
  <c r="J51" i="1" l="1"/>
  <c r="G52" i="1" l="1"/>
  <c r="H52" i="1" s="1"/>
  <c r="I52" i="1"/>
  <c r="J52" i="1" l="1"/>
  <c r="I53" i="1" l="1"/>
  <c r="G53" i="1"/>
  <c r="H53" i="1" s="1"/>
  <c r="J53" i="1" l="1"/>
  <c r="G54" i="1" l="1"/>
  <c r="H54" i="1" s="1"/>
  <c r="I54" i="1"/>
  <c r="J54" i="1" l="1"/>
  <c r="I55" i="1" l="1"/>
  <c r="G55" i="1"/>
  <c r="H55" i="1" s="1"/>
  <c r="J55" i="1" l="1"/>
  <c r="I56" i="1" l="1"/>
  <c r="G56" i="1"/>
  <c r="H56" i="1" s="1"/>
  <c r="J56" i="1" l="1"/>
  <c r="G57" i="1" l="1"/>
  <c r="H57" i="1" s="1"/>
  <c r="I57" i="1"/>
  <c r="J57" i="1" l="1"/>
  <c r="I58" i="1" l="1"/>
  <c r="G58" i="1"/>
  <c r="H58" i="1" s="1"/>
  <c r="J58" i="1" l="1"/>
  <c r="G59" i="1" l="1"/>
  <c r="H59" i="1" s="1"/>
  <c r="I59" i="1"/>
  <c r="J59" i="1" l="1"/>
  <c r="G60" i="1" l="1"/>
  <c r="H60" i="1" s="1"/>
  <c r="I60" i="1"/>
  <c r="J60" i="1" l="1"/>
  <c r="G61" i="1" s="1"/>
  <c r="H61" i="1" s="1"/>
  <c r="I61" i="1"/>
  <c r="J61" i="1" l="1"/>
  <c r="I62" i="1" l="1"/>
  <c r="G62" i="1"/>
  <c r="H62" i="1" s="1"/>
  <c r="J62" i="1" l="1"/>
  <c r="I63" i="1" l="1"/>
  <c r="G63" i="1"/>
  <c r="H63" i="1" s="1"/>
  <c r="J63" i="1" l="1"/>
  <c r="I64" i="1" l="1"/>
  <c r="G64" i="1"/>
  <c r="H64" i="1" s="1"/>
  <c r="J64" i="1" l="1"/>
  <c r="G65" i="1" l="1"/>
  <c r="H65" i="1" s="1"/>
  <c r="I65" i="1"/>
  <c r="J65" i="1" l="1"/>
  <c r="G66" i="1" l="1"/>
  <c r="H66" i="1" s="1"/>
  <c r="I66" i="1"/>
  <c r="J66" i="1" l="1"/>
  <c r="G67" i="1" l="1"/>
  <c r="H67" i="1" s="1"/>
  <c r="I67" i="1"/>
  <c r="J67" i="1" l="1"/>
  <c r="I68" i="1" l="1"/>
  <c r="G68" i="1"/>
  <c r="H68" i="1" s="1"/>
  <c r="J68" i="1" l="1"/>
  <c r="I69" i="1" l="1"/>
  <c r="G69" i="1"/>
  <c r="H69" i="1" s="1"/>
  <c r="J69" i="1" l="1"/>
  <c r="I70" i="1" l="1"/>
  <c r="G70" i="1"/>
  <c r="H70" i="1" s="1"/>
  <c r="J70" i="1" l="1"/>
  <c r="G71" i="1" l="1"/>
  <c r="H71" i="1" s="1"/>
  <c r="I71" i="1"/>
  <c r="J71" i="1" l="1"/>
  <c r="I72" i="1" l="1"/>
  <c r="G72" i="1"/>
  <c r="H72" i="1" s="1"/>
  <c r="J72" i="1" l="1"/>
  <c r="I73" i="1" l="1"/>
  <c r="G73" i="1"/>
  <c r="H73" i="1" s="1"/>
  <c r="J73" i="1" l="1"/>
  <c r="G74" i="1" l="1"/>
  <c r="H74" i="1" s="1"/>
  <c r="I74" i="1"/>
  <c r="J74" i="1" l="1"/>
  <c r="I75" i="1" l="1"/>
  <c r="G75" i="1"/>
  <c r="H75" i="1" s="1"/>
  <c r="J75" i="1" l="1"/>
  <c r="G76" i="1" l="1"/>
  <c r="H76" i="1" s="1"/>
  <c r="I76" i="1"/>
  <c r="J76" i="1" l="1"/>
</calcChain>
</file>

<file path=xl/sharedStrings.xml><?xml version="1.0" encoding="utf-8"?>
<sst xmlns="http://schemas.openxmlformats.org/spreadsheetml/2006/main" count="30" uniqueCount="29">
  <si>
    <t>Age</t>
  </si>
  <si>
    <t>Distribution</t>
  </si>
  <si>
    <t>RMD</t>
  </si>
  <si>
    <t>IRA, SEP IRA, SIMPLE IRA, 401(k), 403(b), 457(b), and Profit Sharing Plans</t>
  </si>
  <si>
    <t>www.JohnGoldhamer.com</t>
  </si>
  <si>
    <t>Since a Roth IRA pays tax upfront, then there is not a Required Minimum Distribution (RMD), until after the death of the owner.</t>
  </si>
  <si>
    <t>Note: If your SPOUSE is the SOLE BENEFICIARY of your account AND he or she is MORE than 10 YEARS YOUNGER than you, then use Table II</t>
  </si>
  <si>
    <t>5% Return</t>
  </si>
  <si>
    <t xml:space="preserve"> Balance</t>
  </si>
  <si>
    <t>RMD %</t>
  </si>
  <si>
    <t xml:space="preserve">        By John B. Goldhamer</t>
  </si>
  <si>
    <t>Subsequent Years, Withdrawal by December 31</t>
  </si>
  <si>
    <t>First Distribution Withdrawal by April 1</t>
  </si>
  <si>
    <t xml:space="preserve">   Last Year's 12/31 Balance</t>
  </si>
  <si>
    <t>Annual Return on Investment</t>
  </si>
  <si>
    <t xml:space="preserve">   Annual Return on Investment</t>
  </si>
  <si>
    <r>
      <rPr>
        <b/>
        <i/>
        <sz val="10"/>
        <color theme="1"/>
        <rFont val="Arial"/>
        <family val="2"/>
      </rPr>
      <t xml:space="preserve">Estimated </t>
    </r>
    <r>
      <rPr>
        <b/>
        <sz val="10"/>
        <color theme="1"/>
        <rFont val="Arial"/>
        <family val="2"/>
      </rPr>
      <t>RMD             On       Balance</t>
    </r>
  </si>
  <si>
    <r>
      <rPr>
        <b/>
        <i/>
        <sz val="10"/>
        <color theme="1"/>
        <rFont val="Arial"/>
        <family val="2"/>
      </rPr>
      <t xml:space="preserve">Estimated </t>
    </r>
    <r>
      <rPr>
        <b/>
        <sz val="10"/>
        <color theme="1"/>
        <rFont val="Arial"/>
        <family val="2"/>
      </rPr>
      <t>RMD Percent         On Balance</t>
    </r>
  </si>
  <si>
    <t>12/31 Balance Including Distribution and Annual Return on Investment</t>
  </si>
  <si>
    <t>Variable Information</t>
  </si>
  <si>
    <r>
      <t xml:space="preserve">Age at Last Withdrawal                        </t>
    </r>
    <r>
      <rPr>
        <i/>
        <sz val="11"/>
        <color theme="1"/>
        <rFont val="Arial"/>
        <family val="2"/>
      </rPr>
      <t>(or 0, If No Withdrawals)</t>
    </r>
  </si>
  <si>
    <r>
      <rPr>
        <b/>
        <u/>
        <sz val="10"/>
        <color theme="1"/>
        <rFont val="Arial"/>
        <family val="2"/>
      </rPr>
      <t>NEW RULE</t>
    </r>
    <r>
      <rPr>
        <b/>
        <sz val="10"/>
        <color theme="1"/>
        <rFont val="Arial"/>
        <family val="2"/>
      </rPr>
      <t xml:space="preserve"> Distribution Period  –                      IRS Life Expectancy Factor</t>
    </r>
  </si>
  <si>
    <r>
      <rPr>
        <i/>
        <u/>
        <sz val="11"/>
        <rFont val="Arial"/>
        <family val="2"/>
      </rPr>
      <t>Estimated</t>
    </r>
    <r>
      <rPr>
        <u/>
        <sz val="11"/>
        <rFont val="Arial"/>
        <family val="2"/>
      </rPr>
      <t xml:space="preserve"> RMD Annual Calculations by Age with </t>
    </r>
    <r>
      <rPr>
        <i/>
        <u/>
        <sz val="11"/>
        <rFont val="Arial"/>
        <family val="2"/>
      </rPr>
      <t>Variable</t>
    </r>
    <r>
      <rPr>
        <u/>
        <sz val="11"/>
        <rFont val="Arial"/>
        <family val="2"/>
      </rPr>
      <t xml:space="preserve"> Annual Return on Investment, including Percent of Running Balance- Starting at AFTER Age 73 to 120</t>
    </r>
  </si>
  <si>
    <r>
      <rPr>
        <b/>
        <u/>
        <sz val="11"/>
        <rFont val="Arial"/>
        <family val="2"/>
      </rPr>
      <t>NEW RULE</t>
    </r>
    <r>
      <rPr>
        <sz val="11"/>
        <rFont val="Arial"/>
        <family val="2"/>
      </rPr>
      <t>: The IRS Required Minimum Distribution (RMD) rules for classifications with deferred tax accounts such as Individual Retirement Arrangements and Employee Retirement Plans are due April 1, AFTER the year an owner reaches age 73.</t>
    </r>
  </si>
  <si>
    <r>
      <rPr>
        <i/>
        <u/>
        <sz val="11"/>
        <rFont val="Arial"/>
        <family val="2"/>
      </rPr>
      <t>Uncle Sam was willing to let your accounts grow tax-deferred as an incentive to save, but eventually he demands his cut</t>
    </r>
    <r>
      <rPr>
        <i/>
        <sz val="11"/>
        <rFont val="Arial"/>
        <family val="2"/>
      </rPr>
      <t xml:space="preserve">.                                                                                                                                  First RMD is </t>
    </r>
    <r>
      <rPr>
        <i/>
        <u/>
        <sz val="11"/>
        <rFont val="Arial"/>
        <family val="2"/>
      </rPr>
      <t>due the year after you turn age 73</t>
    </r>
    <r>
      <rPr>
        <i/>
        <sz val="11"/>
        <rFont val="Arial"/>
        <family val="2"/>
      </rPr>
      <t xml:space="preserve"> </t>
    </r>
    <r>
      <rPr>
        <i/>
        <u/>
        <sz val="11"/>
        <rFont val="Arial"/>
        <family val="2"/>
      </rPr>
      <t>by April 1 of the following year</t>
    </r>
    <r>
      <rPr>
        <i/>
        <sz val="11"/>
        <rFont val="Arial"/>
        <family val="2"/>
      </rPr>
      <t xml:space="preserve"> and </t>
    </r>
    <r>
      <rPr>
        <i/>
        <u/>
        <sz val="11"/>
        <rFont val="Arial"/>
        <family val="2"/>
      </rPr>
      <t>all subsequent years by December 31</t>
    </r>
    <r>
      <rPr>
        <i/>
        <sz val="11"/>
        <rFont val="Arial"/>
        <family val="2"/>
      </rPr>
      <t xml:space="preserve">.  If an owner fails to withdraw RMD, withdraw the full RMD amount, or to withdraw the RMD by the deadline, the </t>
    </r>
    <r>
      <rPr>
        <i/>
        <u/>
        <sz val="11"/>
        <rFont val="Arial"/>
        <family val="2"/>
      </rPr>
      <t>amount not withdrawn is taxed at 50%</t>
    </r>
    <r>
      <rPr>
        <i/>
        <sz val="11"/>
        <rFont val="Arial"/>
        <family val="2"/>
      </rPr>
      <t>.</t>
    </r>
  </si>
  <si>
    <r>
      <rPr>
        <b/>
        <i/>
        <u/>
        <sz val="11"/>
        <color theme="1"/>
        <rFont val="Arial"/>
        <family val="2"/>
      </rPr>
      <t>Estimated</t>
    </r>
    <r>
      <rPr>
        <b/>
        <sz val="11"/>
        <color theme="1"/>
        <rFont val="Arial"/>
        <family val="2"/>
      </rPr>
      <t xml:space="preserve"> - </t>
    </r>
    <r>
      <rPr>
        <b/>
        <u/>
        <sz val="11"/>
        <color theme="1"/>
        <rFont val="Arial"/>
        <family val="2"/>
      </rPr>
      <t>Required Minimum Distribution (RMD), Starting at Age 73, Withdrawn by April 1 of the Following Year, on $500,000 Balance</t>
    </r>
  </si>
  <si>
    <t>121 and over</t>
  </si>
  <si>
    <t>If at age 73 the balance of your account on December 31, is $500,000 then it is divided by your Distribution Period (IRS Life Expectancy Factor) of 27.4, which equals your Required Minimum Distribution (RMD) or withdrawal for the first year of $18,248, or 3.65%.                                                                                                                                                                                                                               Then $18,248 should be included as income on your next U.S. Individual Income Tax Return, Federal 1040, line 15a, IRA Distributions and the Taxable amount posted on line 15b. Each account should have a separate calculation, but the totals are posted in the Federal 1040.</t>
  </si>
  <si>
    <t>REQUIRED MINIMUM DISTRIBUTION (RMD) - IRS Uniform Lifetime Table III -  NEW RULES For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</si>
</sst>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3" x14ac:knownFonts="1">
    <font>
      <sz val="11"/>
      <color theme="1"/>
      <name val="Calibri"/>
      <family val="2"/>
      <scheme val="minor"/>
    </font>
    <font>
      <b/>
      <sz val="11"/>
      <color theme="1"/>
      <name val="Calibri"/>
      <family val="2"/>
      <scheme val="minor"/>
    </font>
    <font>
      <sz val="10"/>
      <color theme="1"/>
      <name val="Arial"/>
      <family val="2"/>
    </font>
    <font>
      <u/>
      <sz val="11"/>
      <color theme="10"/>
      <name val="Calibri"/>
      <family val="2"/>
      <scheme val="minor"/>
    </font>
    <font>
      <sz val="11"/>
      <color theme="1"/>
      <name val="Arial"/>
      <family val="2"/>
    </font>
    <font>
      <b/>
      <sz val="10"/>
      <color theme="1"/>
      <name val="Arial"/>
      <family val="2"/>
    </font>
    <font>
      <b/>
      <u/>
      <sz val="11"/>
      <color theme="1"/>
      <name val="Arial"/>
      <family val="2"/>
    </font>
    <font>
      <i/>
      <sz val="11"/>
      <color theme="1"/>
      <name val="Arial"/>
      <family val="2"/>
    </font>
    <font>
      <u/>
      <sz val="11"/>
      <color theme="10"/>
      <name val="Arial"/>
      <family val="2"/>
    </font>
    <font>
      <b/>
      <sz val="11"/>
      <color theme="1"/>
      <name val="Arial"/>
      <family val="2"/>
    </font>
    <font>
      <sz val="11"/>
      <name val="Arial"/>
      <family val="2"/>
    </font>
    <font>
      <i/>
      <sz val="11"/>
      <name val="Arial"/>
      <family val="2"/>
    </font>
    <font>
      <i/>
      <u/>
      <sz val="11"/>
      <name val="Arial"/>
      <family val="2"/>
    </font>
    <font>
      <b/>
      <sz val="11"/>
      <name val="Arial"/>
      <family val="2"/>
    </font>
    <font>
      <u/>
      <sz val="11"/>
      <color theme="1"/>
      <name val="Arial"/>
      <family val="2"/>
    </font>
    <font>
      <b/>
      <i/>
      <sz val="10"/>
      <color theme="1"/>
      <name val="Arial"/>
      <family val="2"/>
    </font>
    <font>
      <u/>
      <sz val="11"/>
      <name val="Arial"/>
      <family val="2"/>
    </font>
    <font>
      <b/>
      <i/>
      <u/>
      <sz val="11"/>
      <color theme="1"/>
      <name val="Arial"/>
      <family val="2"/>
    </font>
    <font>
      <b/>
      <sz val="11"/>
      <color rgb="FFFF0000"/>
      <name val="Arial"/>
      <family val="2"/>
    </font>
    <font>
      <b/>
      <sz val="12"/>
      <color rgb="FFFF0000"/>
      <name val="Arial"/>
      <family val="2"/>
    </font>
    <font>
      <sz val="11"/>
      <color indexed="8"/>
      <name val="Calibri"/>
      <family val="2"/>
      <charset val="1"/>
    </font>
    <font>
      <b/>
      <u/>
      <sz val="10"/>
      <color theme="1"/>
      <name val="Arial"/>
      <family val="2"/>
    </font>
    <font>
      <b/>
      <u/>
      <sz val="11"/>
      <name val="Arial"/>
      <family val="2"/>
    </font>
  </fonts>
  <fills count="4">
    <fill>
      <patternFill patternType="none"/>
    </fill>
    <fill>
      <patternFill patternType="gray125"/>
    </fill>
    <fill>
      <patternFill patternType="solid">
        <fgColor rgb="FFD2DFED"/>
        <bgColor indexed="64"/>
      </patternFill>
    </fill>
    <fill>
      <patternFill patternType="solid">
        <fgColor theme="3" tint="0.79998168889431442"/>
        <bgColor indexed="64"/>
      </patternFill>
    </fill>
  </fills>
  <borders count="39">
    <border>
      <left/>
      <right/>
      <top/>
      <bottom/>
      <diagonal/>
    </border>
    <border>
      <left style="medium">
        <color rgb="FF4F81BC"/>
      </left>
      <right style="medium">
        <color rgb="FF4F81BC"/>
      </right>
      <top style="medium">
        <color rgb="FF4F81BC"/>
      </top>
      <bottom/>
      <diagonal/>
    </border>
    <border>
      <left style="medium">
        <color rgb="FF4F81BC"/>
      </left>
      <right style="medium">
        <color rgb="FF4F81BC"/>
      </right>
      <top/>
      <bottom style="medium">
        <color rgb="FF4F81BC"/>
      </bottom>
      <diagonal/>
    </border>
    <border>
      <left/>
      <right style="medium">
        <color rgb="FF4F81BC"/>
      </right>
      <top/>
      <bottom style="medium">
        <color rgb="FF4F81BC"/>
      </bottom>
      <diagonal/>
    </border>
    <border>
      <left/>
      <right/>
      <top/>
      <bottom style="double">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rgb="FFFF0000"/>
      </left>
      <right style="thick">
        <color rgb="FFFF0000"/>
      </right>
      <top style="thick">
        <color rgb="FFFF0000"/>
      </top>
      <bottom style="thick">
        <color rgb="FFFF0000"/>
      </bottom>
      <diagonal/>
    </border>
    <border>
      <left style="medium">
        <color rgb="FF4F81BC"/>
      </left>
      <right style="medium">
        <color rgb="FF4F81BC"/>
      </right>
      <top/>
      <bottom/>
      <diagonal/>
    </border>
    <border>
      <left style="medium">
        <color rgb="FF4F81BC"/>
      </left>
      <right/>
      <top style="medium">
        <color rgb="FF4F81BC"/>
      </top>
      <bottom/>
      <diagonal/>
    </border>
    <border>
      <left style="medium">
        <color rgb="FF4F81BC"/>
      </left>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style="thick">
        <color rgb="FFFF0000"/>
      </left>
      <right style="thick">
        <color rgb="FFFF0000"/>
      </right>
      <top style="thick">
        <color rgb="FFFF0000"/>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ck">
        <color rgb="FFFF0000"/>
      </left>
      <right/>
      <top/>
      <bottom style="thin">
        <color rgb="FFFF0000"/>
      </bottom>
      <diagonal/>
    </border>
    <border>
      <left/>
      <right/>
      <top/>
      <bottom style="thin">
        <color rgb="FFFF0000"/>
      </bottom>
      <diagonal/>
    </border>
    <border>
      <left/>
      <right style="medium">
        <color rgb="FFFF0000"/>
      </right>
      <top/>
      <bottom style="thin">
        <color rgb="FFFF0000"/>
      </bottom>
      <diagonal/>
    </border>
    <border>
      <left style="thick">
        <color rgb="FFFF0000"/>
      </left>
      <right/>
      <top style="thin">
        <color rgb="FFFF0000"/>
      </top>
      <bottom style="thin">
        <color rgb="FFFF0000"/>
      </bottom>
      <diagonal/>
    </border>
    <border>
      <left/>
      <right/>
      <top style="thin">
        <color rgb="FFFF0000"/>
      </top>
      <bottom style="thin">
        <color rgb="FFFF0000"/>
      </bottom>
      <diagonal/>
    </border>
    <border>
      <left/>
      <right style="medium">
        <color rgb="FFFF0000"/>
      </right>
      <top style="thin">
        <color rgb="FFFF0000"/>
      </top>
      <bottom style="thin">
        <color rgb="FFFF0000"/>
      </bottom>
      <diagonal/>
    </border>
    <border>
      <left style="medium">
        <color rgb="FF4F81BC"/>
      </left>
      <right style="medium">
        <color rgb="FF4F81BC"/>
      </right>
      <top/>
      <bottom style="thin">
        <color indexed="64"/>
      </bottom>
      <diagonal/>
    </border>
    <border>
      <left style="medium">
        <color rgb="FF4F81BC"/>
      </left>
      <right style="medium">
        <color rgb="FFFF0000"/>
      </right>
      <top style="medium">
        <color rgb="FF4F81BC"/>
      </top>
      <bottom/>
      <diagonal/>
    </border>
    <border>
      <left style="medium">
        <color rgb="FF4F81BC"/>
      </left>
      <right style="medium">
        <color rgb="FFFF0000"/>
      </right>
      <top/>
      <bottom/>
      <diagonal/>
    </border>
    <border>
      <left style="medium">
        <color rgb="FF4F81BC"/>
      </left>
      <right/>
      <top/>
      <bottom style="thin">
        <color indexed="64"/>
      </bottom>
      <diagonal/>
    </border>
    <border>
      <left style="medium">
        <color rgb="FF4F81BC"/>
      </left>
      <right style="medium">
        <color rgb="FFFF0000"/>
      </right>
      <top/>
      <bottom style="thin">
        <color indexed="64"/>
      </bottom>
      <diagonal/>
    </border>
  </borders>
  <cellStyleXfs count="3">
    <xf numFmtId="0" fontId="0" fillId="0" borderId="0"/>
    <xf numFmtId="0" fontId="3" fillId="0" borderId="0" applyNumberFormat="0" applyFill="0" applyBorder="0" applyAlignment="0" applyProtection="0"/>
    <xf numFmtId="0" fontId="20" fillId="0" borderId="0"/>
  </cellStyleXfs>
  <cellXfs count="90">
    <xf numFmtId="0" fontId="0" fillId="0" borderId="0" xfId="0"/>
    <xf numFmtId="0" fontId="0" fillId="0" borderId="0" xfId="0" applyAlignment="1">
      <alignment horizontal="center"/>
    </xf>
    <xf numFmtId="3" fontId="0" fillId="0" borderId="0" xfId="0" applyNumberFormat="1"/>
    <xf numFmtId="164" fontId="0" fillId="0" borderId="0" xfId="0" applyNumberFormat="1" applyAlignment="1">
      <alignment horizontal="center"/>
    </xf>
    <xf numFmtId="3" fontId="1" fillId="0" borderId="0" xfId="0" applyNumberFormat="1" applyFont="1" applyAlignment="1">
      <alignment horizontal="center"/>
    </xf>
    <xf numFmtId="10" fontId="0" fillId="0" borderId="0" xfId="0" applyNumberFormat="1" applyAlignment="1">
      <alignment horizontal="center"/>
    </xf>
    <xf numFmtId="0" fontId="5" fillId="2" borderId="2" xfId="0" applyFont="1" applyFill="1" applyBorder="1" applyAlignment="1">
      <alignment horizontal="center" vertical="center" wrapText="1"/>
    </xf>
    <xf numFmtId="165" fontId="2" fillId="2" borderId="3"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10" fontId="2" fillId="2" borderId="3" xfId="0" applyNumberFormat="1" applyFont="1" applyFill="1" applyBorder="1" applyAlignment="1">
      <alignment horizontal="center" vertical="center" wrapText="1"/>
    </xf>
    <xf numFmtId="0" fontId="5" fillId="0" borderId="2" xfId="0" applyFont="1" applyBorder="1" applyAlignment="1">
      <alignment horizontal="center" vertical="center" wrapText="1"/>
    </xf>
    <xf numFmtId="3" fontId="2" fillId="0" borderId="3" xfId="0" applyNumberFormat="1" applyFont="1" applyBorder="1" applyAlignment="1">
      <alignment horizontal="center" vertical="center" wrapText="1"/>
    </xf>
    <xf numFmtId="10" fontId="2" fillId="0" borderId="3"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4" fillId="0" borderId="0" xfId="0" applyFont="1"/>
    <xf numFmtId="0" fontId="8" fillId="0" borderId="0" xfId="1" applyFont="1"/>
    <xf numFmtId="0" fontId="9" fillId="0" borderId="0" xfId="0" applyFont="1" applyAlignment="1">
      <alignment horizontal="center"/>
    </xf>
    <xf numFmtId="0" fontId="10" fillId="0" borderId="0" xfId="0" applyFont="1"/>
    <xf numFmtId="0" fontId="11" fillId="0" borderId="0" xfId="0" applyFont="1" applyAlignment="1">
      <alignment horizontal="center"/>
    </xf>
    <xf numFmtId="0" fontId="13" fillId="0" borderId="0" xfId="0" applyFont="1" applyAlignment="1">
      <alignment horizontal="center"/>
    </xf>
    <xf numFmtId="0" fontId="11" fillId="0" borderId="0" xfId="0" applyFont="1" applyAlignment="1">
      <alignment horizontal="center" vertical="center" wrapText="1"/>
    </xf>
    <xf numFmtId="0" fontId="4" fillId="0" borderId="4" xfId="0" applyFont="1" applyBorder="1" applyAlignment="1">
      <alignment horizontal="center"/>
    </xf>
    <xf numFmtId="0" fontId="14" fillId="0" borderId="0" xfId="0" applyFont="1" applyAlignment="1">
      <alignment horizontal="right"/>
    </xf>
    <xf numFmtId="0" fontId="4" fillId="0" borderId="13" xfId="0" applyFont="1" applyBorder="1" applyAlignment="1">
      <alignment horizontal="center"/>
    </xf>
    <xf numFmtId="3" fontId="4" fillId="0" borderId="13" xfId="0" applyNumberFormat="1" applyFont="1" applyBorder="1" applyAlignment="1">
      <alignment horizontal="center"/>
    </xf>
    <xf numFmtId="10" fontId="4" fillId="0" borderId="13" xfId="0" applyNumberFormat="1" applyFont="1" applyBorder="1" applyAlignment="1">
      <alignment horizontal="center"/>
    </xf>
    <xf numFmtId="3" fontId="9" fillId="0" borderId="13" xfId="0" applyNumberFormat="1" applyFont="1" applyBorder="1" applyAlignment="1">
      <alignment horizontal="center"/>
    </xf>
    <xf numFmtId="0" fontId="14" fillId="0" borderId="0" xfId="0" applyFont="1"/>
    <xf numFmtId="3" fontId="9" fillId="0" borderId="17" xfId="0" applyNumberFormat="1" applyFont="1" applyBorder="1" applyAlignment="1">
      <alignment horizontal="center" vertical="center" wrapText="1"/>
    </xf>
    <xf numFmtId="165" fontId="2" fillId="0" borderId="3" xfId="0" applyNumberFormat="1" applyFont="1" applyBorder="1" applyAlignment="1">
      <alignment horizontal="center" vertical="center" wrapText="1"/>
    </xf>
    <xf numFmtId="0" fontId="5" fillId="3" borderId="2" xfId="0" applyFont="1" applyFill="1" applyBorder="1" applyAlignment="1">
      <alignment horizontal="center" vertical="center" wrapText="1"/>
    </xf>
    <xf numFmtId="165" fontId="2" fillId="3" borderId="3" xfId="0" applyNumberFormat="1" applyFont="1" applyFill="1" applyBorder="1" applyAlignment="1">
      <alignment horizontal="center" vertical="center" wrapText="1"/>
    </xf>
    <xf numFmtId="3" fontId="2" fillId="3" borderId="3" xfId="0" applyNumberFormat="1" applyFont="1" applyFill="1" applyBorder="1" applyAlignment="1">
      <alignment horizontal="center" vertical="center" wrapText="1"/>
    </xf>
    <xf numFmtId="10" fontId="2" fillId="3" borderId="3" xfId="0" applyNumberFormat="1" applyFont="1" applyFill="1" applyBorder="1" applyAlignment="1">
      <alignment horizontal="center" vertical="center" wrapText="1"/>
    </xf>
    <xf numFmtId="0" fontId="7" fillId="0" borderId="0" xfId="0" applyFont="1" applyAlignment="1">
      <alignment wrapText="1"/>
    </xf>
    <xf numFmtId="0" fontId="0" fillId="0" borderId="21" xfId="0" applyBorder="1"/>
    <xf numFmtId="0" fontId="0" fillId="0" borderId="23" xfId="0" applyBorder="1"/>
    <xf numFmtId="3" fontId="5" fillId="0" borderId="24" xfId="0" applyNumberFormat="1" applyFont="1" applyBorder="1" applyAlignment="1">
      <alignment horizontal="center" vertical="center" wrapText="1"/>
    </xf>
    <xf numFmtId="0" fontId="0" fillId="0" borderId="24" xfId="0" applyBorder="1"/>
    <xf numFmtId="10" fontId="9" fillId="0" borderId="25" xfId="0" applyNumberFormat="1" applyFont="1" applyBorder="1" applyAlignment="1">
      <alignment horizontal="center" vertical="center" wrapText="1"/>
    </xf>
    <xf numFmtId="0" fontId="4" fillId="0" borderId="26" xfId="0" applyFont="1" applyBorder="1"/>
    <xf numFmtId="0" fontId="0" fillId="0" borderId="26" xfId="0" applyBorder="1"/>
    <xf numFmtId="0" fontId="0" fillId="0" borderId="27" xfId="0" applyBorder="1"/>
    <xf numFmtId="0" fontId="4" fillId="0" borderId="28" xfId="0" applyFont="1" applyBorder="1"/>
    <xf numFmtId="0" fontId="0" fillId="0" borderId="29" xfId="0" applyBorder="1"/>
    <xf numFmtId="0" fontId="0" fillId="0" borderId="30" xfId="0" applyBorder="1"/>
    <xf numFmtId="0" fontId="6" fillId="0" borderId="0" xfId="0" applyFont="1" applyAlignment="1">
      <alignment horizont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1" fillId="0" borderId="14" xfId="0" applyFont="1" applyBorder="1" applyAlignment="1">
      <alignment horizontal="center"/>
    </xf>
    <xf numFmtId="0" fontId="11" fillId="0" borderId="15" xfId="0" applyFont="1" applyBorder="1" applyAlignment="1">
      <alignment horizontal="center"/>
    </xf>
    <xf numFmtId="0" fontId="11" fillId="0" borderId="16" xfId="0" applyFont="1" applyBorder="1" applyAlignment="1">
      <alignment horizontal="center"/>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0" xfId="0" applyFont="1" applyAlignment="1">
      <alignment horizontal="center" vertical="center" wrapText="1"/>
    </xf>
    <xf numFmtId="0" fontId="10" fillId="0" borderId="6"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0" xfId="0" applyFont="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6" fillId="0" borderId="0" xfId="0" applyFont="1" applyAlignment="1">
      <alignment horizontal="center"/>
    </xf>
    <xf numFmtId="0" fontId="7" fillId="0" borderId="0" xfId="0" applyFont="1" applyAlignment="1">
      <alignment horizontal="center"/>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10" fontId="5" fillId="0" borderId="35" xfId="0" applyNumberFormat="1" applyFont="1" applyBorder="1" applyAlignment="1">
      <alignment horizontal="center" vertical="center" wrapText="1"/>
    </xf>
    <xf numFmtId="10" fontId="5" fillId="0" borderId="36" xfId="0" applyNumberFormat="1" applyFont="1" applyBorder="1" applyAlignment="1">
      <alignment horizontal="center" vertical="center" wrapText="1"/>
    </xf>
    <xf numFmtId="10" fontId="5" fillId="0" borderId="38"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34" xfId="0"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8" xfId="0" applyNumberFormat="1" applyFont="1" applyBorder="1" applyAlignment="1">
      <alignment horizontal="center" vertical="center" wrapText="1"/>
    </xf>
    <xf numFmtId="3" fontId="5" fillId="0" borderId="34" xfId="0" applyNumberFormat="1" applyFont="1" applyBorder="1" applyAlignment="1">
      <alignment horizontal="center" vertical="center" wrapText="1"/>
    </xf>
    <xf numFmtId="10" fontId="5" fillId="0" borderId="1" xfId="0" applyNumberFormat="1" applyFont="1" applyBorder="1" applyAlignment="1">
      <alignment horizontal="center" vertical="center" wrapText="1"/>
    </xf>
    <xf numFmtId="10" fontId="5" fillId="0" borderId="18" xfId="0" applyNumberFormat="1" applyFont="1" applyBorder="1" applyAlignment="1">
      <alignment horizontal="center" vertical="center" wrapText="1"/>
    </xf>
    <xf numFmtId="10" fontId="5" fillId="0" borderId="34" xfId="0" applyNumberFormat="1" applyFont="1" applyBorder="1" applyAlignment="1">
      <alignment horizontal="center" vertical="center" wrapText="1"/>
    </xf>
    <xf numFmtId="10" fontId="5" fillId="0" borderId="19" xfId="0" applyNumberFormat="1" applyFont="1" applyBorder="1" applyAlignment="1">
      <alignment horizontal="center" vertical="center" wrapText="1"/>
    </xf>
    <xf numFmtId="10" fontId="5" fillId="0" borderId="20" xfId="0" applyNumberFormat="1" applyFont="1" applyBorder="1" applyAlignment="1">
      <alignment horizontal="center" vertical="center" wrapText="1"/>
    </xf>
    <xf numFmtId="10" fontId="5" fillId="0" borderId="37" xfId="0" applyNumberFormat="1" applyFont="1" applyBorder="1" applyAlignment="1">
      <alignment horizontal="center" vertical="center" wrapText="1"/>
    </xf>
    <xf numFmtId="0" fontId="19" fillId="0" borderId="22" xfId="0" applyFont="1" applyBorder="1" applyAlignment="1">
      <alignment horizontal="center" vertical="center"/>
    </xf>
    <xf numFmtId="0" fontId="18" fillId="0" borderId="22" xfId="0" applyFont="1" applyBorder="1" applyAlignment="1">
      <alignment horizontal="center" vertical="center"/>
    </xf>
  </cellXfs>
  <cellStyles count="3">
    <cellStyle name="Excel Built-in Normal" xfId="2" xr:uid="{9FADE97A-8593-4BD1-9E05-31A053F83192}"/>
    <cellStyle name="Hyperlink" xfId="1" builtinId="8"/>
    <cellStyle name="Normal" xfId="0" builtinId="0"/>
  </cellStyles>
  <dxfs count="49">
    <dxf>
      <font>
        <strike/>
      </font>
      <fill>
        <patternFill patternType="solid">
          <bgColor theme="2" tint="-9.9948118533890809E-2"/>
        </patternFill>
      </fill>
    </dxf>
    <dxf>
      <font>
        <strike/>
      </font>
      <fill>
        <patternFill patternType="solid">
          <bgColor theme="2" tint="-9.9948118533890809E-2"/>
        </patternFill>
      </fill>
    </dxf>
    <dxf>
      <font>
        <strike/>
      </font>
      <fill>
        <patternFill patternType="solid">
          <bgColor theme="2" tint="-9.9948118533890809E-2"/>
        </patternFill>
      </fill>
    </dxf>
    <dxf>
      <font>
        <strike/>
      </font>
      <fill>
        <patternFill patternType="solid">
          <bgColor theme="2" tint="-9.9948118533890809E-2"/>
        </patternFill>
      </fill>
    </dxf>
    <dxf>
      <font>
        <strike/>
      </font>
      <fill>
        <patternFill patternType="solid">
          <bgColor theme="2" tint="-9.9948118533890809E-2"/>
        </patternFill>
      </fill>
    </dxf>
    <dxf>
      <font>
        <strike/>
      </font>
      <fill>
        <patternFill patternType="solid">
          <bgColor theme="2" tint="-9.9948118533890809E-2"/>
        </patternFill>
      </fill>
    </dxf>
    <dxf>
      <font>
        <strike/>
      </font>
      <fill>
        <patternFill patternType="solid">
          <bgColor theme="2" tint="-9.9948118533890809E-2"/>
        </patternFill>
      </fill>
    </dxf>
    <dxf>
      <font>
        <strike/>
      </font>
      <fill>
        <patternFill patternType="solid">
          <bgColor theme="2" tint="-9.9948118533890809E-2"/>
        </patternFill>
      </fill>
    </dxf>
    <dxf>
      <font>
        <strike/>
      </font>
      <fill>
        <patternFill patternType="solid">
          <bgColor theme="2" tint="-9.9948118533890809E-2"/>
        </patternFill>
      </fill>
    </dxf>
    <dxf>
      <font>
        <strike/>
      </font>
      <fill>
        <patternFill patternType="solid">
          <bgColor theme="2" tint="-9.9948118533890809E-2"/>
        </patternFill>
      </fill>
    </dxf>
    <dxf>
      <font>
        <strike/>
      </font>
      <fill>
        <patternFill patternType="solid">
          <bgColor theme="2" tint="-9.9948118533890809E-2"/>
        </patternFill>
      </fill>
    </dxf>
    <dxf>
      <font>
        <strike/>
      </font>
      <fill>
        <patternFill patternType="solid">
          <bgColor theme="2" tint="-9.9948118533890809E-2"/>
        </patternFill>
      </fill>
    </dxf>
    <dxf>
      <font>
        <strike/>
      </font>
      <fill>
        <patternFill patternType="solid">
          <bgColor theme="2" tint="-9.9948118533890809E-2"/>
        </patternFill>
      </fill>
    </dxf>
    <dxf>
      <font>
        <strike/>
      </font>
      <fill>
        <patternFill patternType="solid">
          <bgColor theme="2" tint="-9.9948118533890809E-2"/>
        </patternFill>
      </fill>
    </dxf>
    <dxf>
      <font>
        <strike/>
      </font>
      <fill>
        <patternFill patternType="solid">
          <bgColor theme="2" tint="-9.9948118533890809E-2"/>
        </patternFill>
      </fill>
    </dxf>
    <dxf>
      <font>
        <strike/>
      </font>
      <fill>
        <patternFill patternType="solid">
          <bgColor theme="2" tint="-9.9948118533890809E-2"/>
        </patternFill>
      </fill>
    </dxf>
    <dxf>
      <font>
        <strike/>
      </font>
      <fill>
        <patternFill patternType="solid">
          <bgColor theme="2" tint="-9.9948118533890809E-2"/>
        </patternFill>
      </fill>
    </dxf>
    <dxf>
      <font>
        <strike/>
      </font>
      <fill>
        <patternFill patternType="solid">
          <bgColor theme="2" tint="-9.9948118533890809E-2"/>
        </patternFill>
      </fill>
    </dxf>
    <dxf>
      <font>
        <strike/>
      </font>
      <fill>
        <patternFill patternType="solid">
          <bgColor theme="2" tint="-9.9948118533890809E-2"/>
        </patternFill>
      </fill>
    </dxf>
    <dxf>
      <font>
        <strike/>
      </font>
      <fill>
        <patternFill patternType="solid">
          <bgColor theme="2" tint="-9.9948118533890809E-2"/>
        </patternFill>
      </fill>
    </dxf>
    <dxf>
      <font>
        <strike/>
      </font>
      <fill>
        <patternFill patternType="solid">
          <bgColor theme="2" tint="-9.9948118533890809E-2"/>
        </patternFill>
      </fill>
    </dxf>
    <dxf>
      <font>
        <strike/>
      </font>
      <fill>
        <patternFill patternType="solid">
          <bgColor theme="2" tint="-9.9948118533890809E-2"/>
        </patternFill>
      </fill>
    </dxf>
    <dxf>
      <font>
        <strike/>
      </font>
      <fill>
        <patternFill patternType="solid">
          <bgColor theme="2" tint="-9.9948118533890809E-2"/>
        </patternFill>
      </fill>
    </dxf>
    <dxf>
      <font>
        <strike/>
      </font>
      <fill>
        <patternFill patternType="solid">
          <bgColor theme="2" tint="-9.9948118533890809E-2"/>
        </patternFill>
      </fill>
    </dxf>
    <dxf>
      <font>
        <strike/>
      </font>
      <fill>
        <patternFill patternType="solid">
          <bgColor theme="2" tint="-9.9948118533890809E-2"/>
        </patternFill>
      </fill>
    </dxf>
    <dxf>
      <font>
        <strike/>
      </font>
      <fill>
        <patternFill patternType="solid">
          <bgColor theme="2" tint="-9.9948118533890809E-2"/>
        </patternFill>
      </fill>
    </dxf>
    <dxf>
      <font>
        <strike/>
      </font>
      <fill>
        <patternFill patternType="solid">
          <bgColor theme="2" tint="-9.9948118533890809E-2"/>
        </patternFill>
      </fill>
    </dxf>
    <dxf>
      <font>
        <strike/>
      </font>
      <fill>
        <patternFill patternType="solid">
          <bgColor theme="2" tint="-9.9948118533890809E-2"/>
        </patternFill>
      </fill>
    </dxf>
    <dxf>
      <font>
        <strike/>
      </font>
      <fill>
        <patternFill patternType="solid">
          <bgColor theme="2" tint="-9.9948118533890809E-2"/>
        </patternFill>
      </fill>
    </dxf>
    <dxf>
      <font>
        <strike/>
      </font>
      <fill>
        <patternFill patternType="solid">
          <bgColor theme="2" tint="-9.9948118533890809E-2"/>
        </patternFill>
      </fill>
    </dxf>
    <dxf>
      <font>
        <strike/>
      </font>
      <fill>
        <patternFill patternType="solid">
          <bgColor theme="2" tint="-9.9948118533890809E-2"/>
        </patternFill>
      </fill>
    </dxf>
    <dxf>
      <font>
        <strike/>
      </font>
      <fill>
        <patternFill patternType="solid">
          <bgColor theme="2" tint="-9.9948118533890809E-2"/>
        </patternFill>
      </fill>
    </dxf>
    <dxf>
      <font>
        <strike/>
      </font>
      <fill>
        <patternFill patternType="solid">
          <bgColor theme="2" tint="-9.9948118533890809E-2"/>
        </patternFill>
      </fill>
    </dxf>
    <dxf>
      <font>
        <strike/>
      </font>
      <fill>
        <patternFill patternType="solid">
          <bgColor theme="2" tint="-9.9948118533890809E-2"/>
        </patternFill>
      </fill>
    </dxf>
    <dxf>
      <font>
        <strike/>
      </font>
      <fill>
        <patternFill patternType="solid">
          <bgColor theme="2" tint="-9.9948118533890809E-2"/>
        </patternFill>
      </fill>
    </dxf>
    <dxf>
      <font>
        <strike/>
      </font>
      <fill>
        <patternFill patternType="solid">
          <bgColor theme="2" tint="-9.9948118533890809E-2"/>
        </patternFill>
      </fill>
    </dxf>
    <dxf>
      <font>
        <strike/>
      </font>
      <fill>
        <patternFill patternType="solid">
          <bgColor theme="2" tint="-9.9948118533890809E-2"/>
        </patternFill>
      </fill>
    </dxf>
    <dxf>
      <font>
        <strike/>
      </font>
      <fill>
        <patternFill patternType="solid">
          <bgColor theme="2" tint="-9.9948118533890809E-2"/>
        </patternFill>
      </fill>
    </dxf>
    <dxf>
      <font>
        <strike/>
      </font>
      <fill>
        <patternFill patternType="solid">
          <bgColor theme="2" tint="-9.9948118533890809E-2"/>
        </patternFill>
      </fill>
    </dxf>
    <dxf>
      <font>
        <strike/>
      </font>
      <fill>
        <patternFill patternType="solid">
          <bgColor theme="2" tint="-9.9948118533890809E-2"/>
        </patternFill>
      </fill>
    </dxf>
    <dxf>
      <font>
        <strike/>
      </font>
      <fill>
        <patternFill patternType="solid">
          <bgColor theme="2" tint="-9.9948118533890809E-2"/>
        </patternFill>
      </fill>
    </dxf>
    <dxf>
      <font>
        <strike/>
      </font>
      <fill>
        <patternFill patternType="solid">
          <bgColor theme="2" tint="-9.9948118533890809E-2"/>
        </patternFill>
      </fill>
    </dxf>
    <dxf>
      <font>
        <strike/>
      </font>
      <fill>
        <patternFill patternType="solid">
          <bgColor theme="2" tint="-9.9948118533890809E-2"/>
        </patternFill>
      </fill>
    </dxf>
    <dxf>
      <font>
        <strike/>
      </font>
      <fill>
        <patternFill patternType="solid">
          <bgColor theme="2" tint="-9.9948118533890809E-2"/>
        </patternFill>
      </fill>
    </dxf>
    <dxf>
      <font>
        <strike/>
      </font>
      <fill>
        <patternFill patternType="solid">
          <bgColor theme="2" tint="-9.9948118533890809E-2"/>
        </patternFill>
      </fill>
    </dxf>
    <dxf>
      <font>
        <strike/>
      </font>
      <fill>
        <patternFill patternType="solid">
          <bgColor theme="2" tint="-9.9948118533890809E-2"/>
        </patternFill>
      </fill>
    </dxf>
    <dxf>
      <font>
        <strike/>
      </font>
      <fill>
        <patternFill patternType="solid">
          <bgColor theme="2" tint="-9.9948118533890809E-2"/>
        </patternFill>
      </fill>
    </dxf>
    <dxf>
      <font>
        <strike/>
      </font>
      <fill>
        <patternFill patternType="solid">
          <bgColor theme="2" tint="-9.9948118533890809E-2"/>
        </patternFill>
      </fill>
    </dxf>
    <dxf>
      <font>
        <strike/>
      </font>
      <fill>
        <patternFill patternType="solid">
          <bgColor theme="2" tint="-9.9948118533890809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johngoldhamer.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76"/>
  <sheetViews>
    <sheetView tabSelected="1" topLeftCell="B1" zoomScaleNormal="100" workbookViewId="0">
      <selection activeCell="B1" sqref="B1"/>
    </sheetView>
  </sheetViews>
  <sheetFormatPr defaultRowHeight="14.75" x14ac:dyDescent="0.75"/>
  <cols>
    <col min="1" max="1" width="2.7265625" customWidth="1"/>
    <col min="2" max="2" width="11.7265625" customWidth="1"/>
    <col min="3" max="5" width="11.1328125" customWidth="1"/>
    <col min="6" max="6" width="11.54296875" customWidth="1"/>
    <col min="7" max="9" width="11.1328125" customWidth="1"/>
    <col min="10" max="10" width="11.86328125" bestFit="1" customWidth="1"/>
    <col min="11" max="11" width="1.54296875" customWidth="1"/>
    <col min="12" max="13" width="11.1328125" customWidth="1"/>
    <col min="14" max="14" width="14.26953125" customWidth="1"/>
    <col min="15" max="15" width="5.04296875" customWidth="1"/>
    <col min="16" max="16" width="10" customWidth="1"/>
    <col min="17" max="17" width="10.54296875" bestFit="1" customWidth="1"/>
  </cols>
  <sheetData>
    <row r="1" spans="2:15" x14ac:dyDescent="0.75">
      <c r="B1" s="14"/>
      <c r="C1" s="14"/>
      <c r="D1" s="14"/>
      <c r="E1" s="14"/>
      <c r="F1" s="14"/>
      <c r="G1" s="14"/>
      <c r="H1" s="14"/>
      <c r="I1" s="14"/>
      <c r="J1" s="14"/>
      <c r="K1" s="14"/>
      <c r="L1" s="14"/>
      <c r="M1" s="14"/>
      <c r="N1" s="14"/>
    </row>
    <row r="2" spans="2:15" x14ac:dyDescent="0.75">
      <c r="B2" s="46" t="s">
        <v>28</v>
      </c>
      <c r="C2" s="46"/>
      <c r="D2" s="46"/>
      <c r="E2" s="46"/>
      <c r="F2" s="46"/>
      <c r="G2" s="46"/>
      <c r="H2" s="46"/>
      <c r="I2" s="46"/>
      <c r="J2" s="46"/>
      <c r="K2" s="46"/>
      <c r="L2" s="46"/>
      <c r="M2" s="46"/>
      <c r="N2" s="46"/>
    </row>
    <row r="3" spans="2:15" x14ac:dyDescent="0.75">
      <c r="B3" s="68" t="s">
        <v>22</v>
      </c>
      <c r="C3" s="68"/>
      <c r="D3" s="68"/>
      <c r="E3" s="68"/>
      <c r="F3" s="68"/>
      <c r="G3" s="68"/>
      <c r="H3" s="68"/>
      <c r="I3" s="68"/>
      <c r="J3" s="68"/>
      <c r="K3" s="68"/>
      <c r="L3" s="68"/>
      <c r="M3" s="68"/>
      <c r="N3" s="68"/>
      <c r="O3" s="68"/>
    </row>
    <row r="4" spans="2:15" x14ac:dyDescent="0.75">
      <c r="B4" s="14"/>
      <c r="C4" s="14"/>
      <c r="D4" s="14"/>
      <c r="E4" s="14"/>
      <c r="F4" s="14" t="s">
        <v>10</v>
      </c>
      <c r="G4" s="14"/>
      <c r="I4" s="15" t="s">
        <v>4</v>
      </c>
      <c r="J4" s="14"/>
      <c r="K4" s="14"/>
      <c r="L4" s="14"/>
      <c r="M4" s="14"/>
      <c r="N4" s="14"/>
    </row>
    <row r="5" spans="2:15" x14ac:dyDescent="0.75">
      <c r="B5" s="69" t="s">
        <v>6</v>
      </c>
      <c r="C5" s="69"/>
      <c r="D5" s="69"/>
      <c r="E5" s="69"/>
      <c r="F5" s="69"/>
      <c r="G5" s="69"/>
      <c r="H5" s="69"/>
      <c r="I5" s="69"/>
      <c r="J5" s="69"/>
      <c r="K5" s="69"/>
      <c r="L5" s="69"/>
      <c r="M5" s="69"/>
      <c r="N5" s="69"/>
      <c r="O5" s="69"/>
    </row>
    <row r="6" spans="2:15" ht="5.25" customHeight="1" x14ac:dyDescent="0.75">
      <c r="B6" s="14"/>
      <c r="C6" s="14"/>
      <c r="D6" s="14"/>
      <c r="E6" s="14"/>
      <c r="F6" s="14"/>
      <c r="G6" s="16"/>
      <c r="H6" s="16"/>
      <c r="I6" s="16"/>
      <c r="J6" s="14"/>
      <c r="K6" s="14"/>
      <c r="L6" s="14"/>
      <c r="M6" s="14"/>
      <c r="N6" s="14"/>
    </row>
    <row r="7" spans="2:15" ht="15" customHeight="1" x14ac:dyDescent="0.75">
      <c r="B7" s="53" t="s">
        <v>23</v>
      </c>
      <c r="C7" s="54"/>
      <c r="D7" s="54"/>
      <c r="E7" s="54"/>
      <c r="F7" s="54"/>
      <c r="G7" s="54"/>
      <c r="H7" s="54"/>
      <c r="I7" s="54"/>
      <c r="J7" s="54"/>
      <c r="K7" s="54"/>
      <c r="L7" s="54"/>
      <c r="M7" s="54"/>
      <c r="N7" s="55"/>
    </row>
    <row r="8" spans="2:15" x14ac:dyDescent="0.75">
      <c r="B8" s="56"/>
      <c r="C8" s="57"/>
      <c r="D8" s="57"/>
      <c r="E8" s="57"/>
      <c r="F8" s="57"/>
      <c r="G8" s="57"/>
      <c r="H8" s="57"/>
      <c r="I8" s="57"/>
      <c r="J8" s="57"/>
      <c r="K8" s="57"/>
      <c r="L8" s="57"/>
      <c r="M8" s="57"/>
      <c r="N8" s="58"/>
    </row>
    <row r="9" spans="2:15" x14ac:dyDescent="0.75">
      <c r="B9" s="47" t="s">
        <v>3</v>
      </c>
      <c r="C9" s="48"/>
      <c r="D9" s="48"/>
      <c r="E9" s="48"/>
      <c r="F9" s="48"/>
      <c r="G9" s="48"/>
      <c r="H9" s="48"/>
      <c r="I9" s="48"/>
      <c r="J9" s="48"/>
      <c r="K9" s="48"/>
      <c r="L9" s="48"/>
      <c r="M9" s="48"/>
      <c r="N9" s="49"/>
    </row>
    <row r="10" spans="2:15" x14ac:dyDescent="0.75">
      <c r="B10" s="50" t="s">
        <v>5</v>
      </c>
      <c r="C10" s="51"/>
      <c r="D10" s="51"/>
      <c r="E10" s="51"/>
      <c r="F10" s="51"/>
      <c r="G10" s="51"/>
      <c r="H10" s="51"/>
      <c r="I10" s="51"/>
      <c r="J10" s="51"/>
      <c r="K10" s="51"/>
      <c r="L10" s="51"/>
      <c r="M10" s="51"/>
      <c r="N10" s="52"/>
    </row>
    <row r="11" spans="2:15" ht="5.25" customHeight="1" x14ac:dyDescent="0.75">
      <c r="B11" s="17"/>
      <c r="C11" s="17"/>
      <c r="D11" s="17"/>
      <c r="E11" s="17"/>
      <c r="F11" s="17"/>
      <c r="G11" s="18"/>
      <c r="H11" s="19"/>
      <c r="I11" s="19"/>
      <c r="J11" s="17"/>
      <c r="K11" s="17"/>
      <c r="L11" s="17"/>
      <c r="M11" s="17"/>
      <c r="N11" s="17"/>
    </row>
    <row r="12" spans="2:15" ht="15" customHeight="1" x14ac:dyDescent="0.75">
      <c r="B12" s="59" t="s">
        <v>24</v>
      </c>
      <c r="C12" s="60"/>
      <c r="D12" s="60"/>
      <c r="E12" s="60"/>
      <c r="F12" s="60"/>
      <c r="G12" s="60"/>
      <c r="H12" s="60"/>
      <c r="I12" s="60"/>
      <c r="J12" s="60"/>
      <c r="K12" s="60"/>
      <c r="L12" s="60"/>
      <c r="M12" s="60"/>
      <c r="N12" s="61"/>
    </row>
    <row r="13" spans="2:15" x14ac:dyDescent="0.75">
      <c r="B13" s="62"/>
      <c r="C13" s="63"/>
      <c r="D13" s="63"/>
      <c r="E13" s="63"/>
      <c r="F13" s="63"/>
      <c r="G13" s="63"/>
      <c r="H13" s="63"/>
      <c r="I13" s="63"/>
      <c r="J13" s="63"/>
      <c r="K13" s="63"/>
      <c r="L13" s="63"/>
      <c r="M13" s="63"/>
      <c r="N13" s="64"/>
    </row>
    <row r="14" spans="2:15" x14ac:dyDescent="0.75">
      <c r="B14" s="65"/>
      <c r="C14" s="66"/>
      <c r="D14" s="66"/>
      <c r="E14" s="66"/>
      <c r="F14" s="66"/>
      <c r="G14" s="66"/>
      <c r="H14" s="66"/>
      <c r="I14" s="66"/>
      <c r="J14" s="66"/>
      <c r="K14" s="66"/>
      <c r="L14" s="66"/>
      <c r="M14" s="66"/>
      <c r="N14" s="67"/>
    </row>
    <row r="15" spans="2:15" ht="6" customHeight="1" x14ac:dyDescent="0.75">
      <c r="B15" s="20"/>
      <c r="C15" s="20"/>
      <c r="D15" s="20"/>
      <c r="E15" s="20"/>
      <c r="F15" s="20"/>
      <c r="G15" s="20"/>
      <c r="H15" s="20"/>
      <c r="I15" s="20"/>
      <c r="J15" s="20"/>
      <c r="K15" s="20"/>
      <c r="L15" s="20"/>
      <c r="M15" s="20"/>
      <c r="N15" s="20"/>
    </row>
    <row r="16" spans="2:15" x14ac:dyDescent="0.75">
      <c r="B16" s="59" t="s">
        <v>27</v>
      </c>
      <c r="C16" s="60"/>
      <c r="D16" s="60"/>
      <c r="E16" s="60"/>
      <c r="F16" s="60"/>
      <c r="G16" s="60"/>
      <c r="H16" s="60"/>
      <c r="I16" s="60"/>
      <c r="J16" s="60"/>
      <c r="K16" s="60"/>
      <c r="L16" s="60"/>
      <c r="M16" s="60"/>
      <c r="N16" s="61"/>
    </row>
    <row r="17" spans="2:16" x14ac:dyDescent="0.75">
      <c r="B17" s="62"/>
      <c r="C17" s="63"/>
      <c r="D17" s="63"/>
      <c r="E17" s="63"/>
      <c r="F17" s="63"/>
      <c r="G17" s="63"/>
      <c r="H17" s="63"/>
      <c r="I17" s="63"/>
      <c r="J17" s="63"/>
      <c r="K17" s="63"/>
      <c r="L17" s="63"/>
      <c r="M17" s="63"/>
      <c r="N17" s="64"/>
    </row>
    <row r="18" spans="2:16" x14ac:dyDescent="0.75">
      <c r="B18" s="62"/>
      <c r="C18" s="63"/>
      <c r="D18" s="63"/>
      <c r="E18" s="63"/>
      <c r="F18" s="63"/>
      <c r="G18" s="63"/>
      <c r="H18" s="63"/>
      <c r="I18" s="63"/>
      <c r="J18" s="63"/>
      <c r="K18" s="63"/>
      <c r="L18" s="63"/>
      <c r="M18" s="63"/>
      <c r="N18" s="64"/>
    </row>
    <row r="19" spans="2:16" x14ac:dyDescent="0.75">
      <c r="B19" s="65"/>
      <c r="C19" s="66"/>
      <c r="D19" s="66"/>
      <c r="E19" s="66"/>
      <c r="F19" s="66"/>
      <c r="G19" s="66"/>
      <c r="H19" s="66"/>
      <c r="I19" s="66"/>
      <c r="J19" s="66"/>
      <c r="K19" s="66"/>
      <c r="L19" s="66"/>
      <c r="M19" s="66"/>
      <c r="N19" s="67"/>
    </row>
    <row r="20" spans="2:16" ht="5.25" customHeight="1" x14ac:dyDescent="0.75">
      <c r="B20" s="14"/>
      <c r="C20" s="14"/>
      <c r="D20" s="14"/>
      <c r="E20" s="14"/>
      <c r="F20" s="14"/>
      <c r="G20" s="16"/>
      <c r="H20" s="16"/>
      <c r="I20" s="16"/>
      <c r="J20" s="14"/>
      <c r="K20" s="14"/>
      <c r="L20" s="14"/>
      <c r="M20" s="14"/>
      <c r="N20" s="14"/>
    </row>
    <row r="21" spans="2:16" x14ac:dyDescent="0.75">
      <c r="B21" s="46" t="s">
        <v>25</v>
      </c>
      <c r="C21" s="46"/>
      <c r="D21" s="46"/>
      <c r="E21" s="46"/>
      <c r="F21" s="46"/>
      <c r="G21" s="46"/>
      <c r="H21" s="46"/>
      <c r="I21" s="46"/>
      <c r="J21" s="46"/>
      <c r="K21" s="46"/>
      <c r="L21" s="46"/>
      <c r="M21" s="46"/>
      <c r="N21" s="46"/>
    </row>
    <row r="22" spans="2:16" ht="15.5" thickBot="1" x14ac:dyDescent="0.9">
      <c r="B22" s="14"/>
      <c r="C22" s="14"/>
      <c r="D22" s="14"/>
      <c r="E22" s="21" t="s">
        <v>0</v>
      </c>
      <c r="F22" s="21" t="s">
        <v>1</v>
      </c>
      <c r="G22" s="21" t="s">
        <v>2</v>
      </c>
      <c r="H22" s="21" t="s">
        <v>9</v>
      </c>
      <c r="I22" s="21" t="s">
        <v>7</v>
      </c>
      <c r="J22" s="21" t="s">
        <v>8</v>
      </c>
      <c r="K22" s="14"/>
      <c r="L22" s="14"/>
      <c r="M22" s="14"/>
      <c r="N22" s="14"/>
    </row>
    <row r="23" spans="2:16" ht="15.5" thickTop="1" x14ac:dyDescent="0.75">
      <c r="B23" s="14"/>
      <c r="C23" s="14"/>
      <c r="D23" s="22" t="s">
        <v>12</v>
      </c>
      <c r="E23" s="24">
        <v>73</v>
      </c>
      <c r="F23" s="23">
        <v>27.4</v>
      </c>
      <c r="G23" s="24">
        <f>+J23/F23</f>
        <v>18248.175182481751</v>
      </c>
      <c r="H23" s="25">
        <f>+G23/J23</f>
        <v>3.6496350364963501E-2</v>
      </c>
      <c r="I23" s="24">
        <f>+J23*5%</f>
        <v>25000</v>
      </c>
      <c r="J23" s="26">
        <f>+L27</f>
        <v>500000</v>
      </c>
      <c r="K23" s="27" t="s">
        <v>11</v>
      </c>
      <c r="L23" s="14"/>
      <c r="M23" s="14"/>
      <c r="N23" s="14"/>
    </row>
    <row r="24" spans="2:16" ht="9" customHeight="1" thickBot="1" x14ac:dyDescent="0.9">
      <c r="E24" s="4"/>
      <c r="F24" s="3"/>
      <c r="G24" s="1"/>
      <c r="H24" s="2"/>
      <c r="I24" s="2"/>
      <c r="J24" s="5"/>
    </row>
    <row r="25" spans="2:16" ht="57.75" customHeight="1" thickBot="1" x14ac:dyDescent="0.9">
      <c r="E25" s="76" t="s">
        <v>0</v>
      </c>
      <c r="F25" s="76" t="s">
        <v>21</v>
      </c>
      <c r="G25" s="79" t="s">
        <v>16</v>
      </c>
      <c r="H25" s="82" t="s">
        <v>17</v>
      </c>
      <c r="I25" s="85" t="s">
        <v>14</v>
      </c>
      <c r="J25" s="73" t="s">
        <v>18</v>
      </c>
      <c r="K25" s="35"/>
      <c r="L25" s="88" t="s">
        <v>19</v>
      </c>
      <c r="M25" s="89"/>
      <c r="N25" s="89"/>
      <c r="O25" s="36"/>
    </row>
    <row r="26" spans="2:16" ht="28.5" customHeight="1" thickTop="1" thickBot="1" x14ac:dyDescent="0.9">
      <c r="E26" s="77"/>
      <c r="F26" s="77"/>
      <c r="G26" s="80"/>
      <c r="H26" s="83"/>
      <c r="I26" s="86"/>
      <c r="J26" s="74"/>
      <c r="K26" s="37"/>
      <c r="L26" s="28">
        <v>73</v>
      </c>
      <c r="M26" s="70" t="s">
        <v>20</v>
      </c>
      <c r="N26" s="71"/>
      <c r="O26" s="72"/>
      <c r="P26" s="34"/>
    </row>
    <row r="27" spans="2:16" ht="16.25" thickTop="1" thickBot="1" x14ac:dyDescent="0.9">
      <c r="E27" s="78"/>
      <c r="F27" s="78"/>
      <c r="G27" s="81"/>
      <c r="H27" s="84"/>
      <c r="I27" s="87"/>
      <c r="J27" s="75"/>
      <c r="K27" s="38"/>
      <c r="L27" s="28">
        <v>500000</v>
      </c>
      <c r="M27" s="43" t="s">
        <v>13</v>
      </c>
      <c r="N27" s="44"/>
      <c r="O27" s="45"/>
    </row>
    <row r="28" spans="2:16" ht="16.25" thickTop="1" thickBot="1" x14ac:dyDescent="0.9">
      <c r="E28" s="6">
        <v>73</v>
      </c>
      <c r="F28" s="7">
        <v>27.4</v>
      </c>
      <c r="G28" s="8">
        <f>+L27/F28</f>
        <v>18248.175182481751</v>
      </c>
      <c r="H28" s="9">
        <f>+G28/L27</f>
        <v>3.6496350364963501E-2</v>
      </c>
      <c r="I28" s="8">
        <f>+L27*L28</f>
        <v>25000</v>
      </c>
      <c r="J28" s="8">
        <f>IF(AND(L26&gt;=E28,L26&lt;E29),L27,SUM(L27-G28)+I28)</f>
        <v>500000</v>
      </c>
      <c r="L28" s="39">
        <v>0.05</v>
      </c>
      <c r="M28" s="40" t="s">
        <v>15</v>
      </c>
      <c r="N28" s="41"/>
      <c r="O28" s="42"/>
    </row>
    <row r="29" spans="2:16" ht="15.5" thickBot="1" x14ac:dyDescent="0.9">
      <c r="E29" s="10">
        <v>74</v>
      </c>
      <c r="F29" s="29">
        <v>26.5</v>
      </c>
      <c r="G29" s="11">
        <f t="shared" ref="G29:G75" si="0">+J28/F29</f>
        <v>18867.924528301886</v>
      </c>
      <c r="H29" s="12">
        <f t="shared" ref="H29:H76" si="1">+G29/J28</f>
        <v>3.7735849056603772E-2</v>
      </c>
      <c r="I29" s="11">
        <f>+J28*L28</f>
        <v>25000</v>
      </c>
      <c r="J29" s="11">
        <f>IF(L26=73,L27,SUM(J28-G29)+I29)</f>
        <v>500000</v>
      </c>
    </row>
    <row r="30" spans="2:16" ht="15.5" thickBot="1" x14ac:dyDescent="0.9">
      <c r="E30" s="6">
        <v>75</v>
      </c>
      <c r="F30" s="7">
        <v>25.5</v>
      </c>
      <c r="G30" s="8">
        <f t="shared" si="0"/>
        <v>19607.843137254902</v>
      </c>
      <c r="H30" s="9">
        <f t="shared" si="1"/>
        <v>3.9215686274509803E-2</v>
      </c>
      <c r="I30" s="8">
        <f>+J29*L28</f>
        <v>25000</v>
      </c>
      <c r="J30" s="8">
        <f>IF(L26=74,L27,SUM(J29-G30)+I30)</f>
        <v>505392.15686274512</v>
      </c>
    </row>
    <row r="31" spans="2:16" ht="15.5" thickBot="1" x14ac:dyDescent="0.9">
      <c r="E31" s="10">
        <v>76</v>
      </c>
      <c r="F31" s="29">
        <v>24.6</v>
      </c>
      <c r="G31" s="11">
        <f t="shared" si="0"/>
        <v>20544.396620436793</v>
      </c>
      <c r="H31" s="12">
        <f t="shared" si="1"/>
        <v>4.065040650406504E-2</v>
      </c>
      <c r="I31" s="11">
        <f>+J30*L28</f>
        <v>25269.607843137259</v>
      </c>
      <c r="J31" s="11">
        <f>IF(L26=75,L27,SUM(J30-G31)+I31)</f>
        <v>510117.3680854456</v>
      </c>
    </row>
    <row r="32" spans="2:16" ht="15.5" thickBot="1" x14ac:dyDescent="0.9">
      <c r="E32" s="30">
        <v>77</v>
      </c>
      <c r="F32" s="31">
        <v>23.7</v>
      </c>
      <c r="G32" s="32">
        <f t="shared" si="0"/>
        <v>21523.939581664374</v>
      </c>
      <c r="H32" s="33">
        <f t="shared" si="1"/>
        <v>4.2194092827004225E-2</v>
      </c>
      <c r="I32" s="32">
        <f>+J31*L28</f>
        <v>25505.868404272282</v>
      </c>
      <c r="J32" s="32">
        <f>IF(L26=76,L27,SUM(J31-G32)+I32)</f>
        <v>514099.29690805351</v>
      </c>
    </row>
    <row r="33" spans="5:10" ht="15.5" thickBot="1" x14ac:dyDescent="0.9">
      <c r="E33" s="10">
        <v>78</v>
      </c>
      <c r="F33" s="29">
        <v>22.9</v>
      </c>
      <c r="G33" s="11">
        <f t="shared" si="0"/>
        <v>22449.750956683562</v>
      </c>
      <c r="H33" s="12">
        <f t="shared" si="1"/>
        <v>4.3668122270742363E-2</v>
      </c>
      <c r="I33" s="11">
        <f>+J32*L28</f>
        <v>25704.964845402676</v>
      </c>
      <c r="J33" s="11">
        <f>IF(L26=77,L27,SUM(J32-G33)+I33)</f>
        <v>517354.51079677267</v>
      </c>
    </row>
    <row r="34" spans="5:10" ht="15.5" thickBot="1" x14ac:dyDescent="0.9">
      <c r="E34" s="30">
        <v>79</v>
      </c>
      <c r="F34" s="31">
        <v>22</v>
      </c>
      <c r="G34" s="32">
        <f t="shared" si="0"/>
        <v>23516.114127126031</v>
      </c>
      <c r="H34" s="33">
        <f t="shared" si="1"/>
        <v>4.5454545454545456E-2</v>
      </c>
      <c r="I34" s="32">
        <f>+J33*L28</f>
        <v>25867.725539838633</v>
      </c>
      <c r="J34" s="32">
        <f>IF(L26=78,L27,SUM(J33-G34)+I34)</f>
        <v>519706.12220948527</v>
      </c>
    </row>
    <row r="35" spans="5:10" ht="15.5" thickBot="1" x14ac:dyDescent="0.9">
      <c r="E35" s="10">
        <v>80</v>
      </c>
      <c r="F35" s="29">
        <v>21.1</v>
      </c>
      <c r="G35" s="11">
        <f t="shared" si="0"/>
        <v>24630.621905662807</v>
      </c>
      <c r="H35" s="12">
        <f t="shared" si="1"/>
        <v>4.7393364928909949E-2</v>
      </c>
      <c r="I35" s="11">
        <f>+J34*L28</f>
        <v>25985.306110474266</v>
      </c>
      <c r="J35" s="11">
        <f>IF(L26=79,L27,SUM(J34-G35)+I35)</f>
        <v>521060.80641429673</v>
      </c>
    </row>
    <row r="36" spans="5:10" ht="15.5" thickBot="1" x14ac:dyDescent="0.9">
      <c r="E36" s="30">
        <v>81</v>
      </c>
      <c r="F36" s="31">
        <v>20.2</v>
      </c>
      <c r="G36" s="32">
        <f t="shared" si="0"/>
        <v>25795.089426450333</v>
      </c>
      <c r="H36" s="33">
        <f t="shared" si="1"/>
        <v>4.9504950495049507E-2</v>
      </c>
      <c r="I36" s="32">
        <f>+J35*L28</f>
        <v>26053.040320714837</v>
      </c>
      <c r="J36" s="32">
        <f>IF(L26=80,L27,SUM(J35-G36)+I36)</f>
        <v>521318.75730856124</v>
      </c>
    </row>
    <row r="37" spans="5:10" ht="15.5" thickBot="1" x14ac:dyDescent="0.9">
      <c r="E37" s="10">
        <v>82</v>
      </c>
      <c r="F37" s="29">
        <v>19.399999999999999</v>
      </c>
      <c r="G37" s="11">
        <f t="shared" si="0"/>
        <v>26872.100892193881</v>
      </c>
      <c r="H37" s="12">
        <f t="shared" si="1"/>
        <v>5.1546391752577324E-2</v>
      </c>
      <c r="I37" s="11">
        <f>+J36*L28</f>
        <v>26065.937865428063</v>
      </c>
      <c r="J37" s="11">
        <f>IF(L26=81,L27,SUM(J36-G37)+I37)</f>
        <v>520512.59428179538</v>
      </c>
    </row>
    <row r="38" spans="5:10" ht="15.5" thickBot="1" x14ac:dyDescent="0.9">
      <c r="E38" s="30">
        <v>83</v>
      </c>
      <c r="F38" s="31">
        <v>18.5</v>
      </c>
      <c r="G38" s="32">
        <f t="shared" si="0"/>
        <v>28135.815907124073</v>
      </c>
      <c r="H38" s="33">
        <f t="shared" si="1"/>
        <v>5.405405405405405E-2</v>
      </c>
      <c r="I38" s="32">
        <f>+J37*L28</f>
        <v>26025.62971408977</v>
      </c>
      <c r="J38" s="32">
        <f>IF(L26=82,L27,SUM(J37-G38)+I38)</f>
        <v>518402.40808876109</v>
      </c>
    </row>
    <row r="39" spans="5:10" ht="15.5" thickBot="1" x14ac:dyDescent="0.9">
      <c r="E39" s="10">
        <v>84</v>
      </c>
      <c r="F39" s="29">
        <v>17.7</v>
      </c>
      <c r="G39" s="11">
        <f t="shared" si="0"/>
        <v>29288.271643432832</v>
      </c>
      <c r="H39" s="12">
        <f t="shared" si="1"/>
        <v>5.6497175141242945E-2</v>
      </c>
      <c r="I39" s="11">
        <f>+J38*L28</f>
        <v>25920.120404438057</v>
      </c>
      <c r="J39" s="11">
        <f>IF(L26=83,L27,SUM(J38-G39)+I39)</f>
        <v>515034.2568497663</v>
      </c>
    </row>
    <row r="40" spans="5:10" ht="15.5" thickBot="1" x14ac:dyDescent="0.9">
      <c r="E40" s="30">
        <v>85</v>
      </c>
      <c r="F40" s="31">
        <v>16.8</v>
      </c>
      <c r="G40" s="32">
        <f t="shared" si="0"/>
        <v>30656.801002962278</v>
      </c>
      <c r="H40" s="33">
        <f t="shared" si="1"/>
        <v>5.9523809523809521E-2</v>
      </c>
      <c r="I40" s="32">
        <f>+J39*L28</f>
        <v>25751.712842488316</v>
      </c>
      <c r="J40" s="32">
        <f>IF(L26=84,L27,SUM(J39-G40)+I40)</f>
        <v>510129.16868929233</v>
      </c>
    </row>
    <row r="41" spans="5:10" ht="15.5" thickBot="1" x14ac:dyDescent="0.9">
      <c r="E41" s="10">
        <v>86</v>
      </c>
      <c r="F41" s="29">
        <v>16</v>
      </c>
      <c r="G41" s="11">
        <f t="shared" si="0"/>
        <v>31883.073043080771</v>
      </c>
      <c r="H41" s="12">
        <f t="shared" si="1"/>
        <v>6.25E-2</v>
      </c>
      <c r="I41" s="11">
        <f>+J40*L28</f>
        <v>25506.458434464617</v>
      </c>
      <c r="J41" s="11">
        <f>IF(L26=85,L27,SUM(J40-G41)+I41)</f>
        <v>503752.55408067623</v>
      </c>
    </row>
    <row r="42" spans="5:10" ht="15.5" thickBot="1" x14ac:dyDescent="0.9">
      <c r="E42" s="30">
        <v>87</v>
      </c>
      <c r="F42" s="31">
        <v>15.2</v>
      </c>
      <c r="G42" s="32">
        <f t="shared" si="0"/>
        <v>33141.615400044488</v>
      </c>
      <c r="H42" s="33">
        <f t="shared" si="1"/>
        <v>6.5789473684210523E-2</v>
      </c>
      <c r="I42" s="32">
        <f>+J41*L28</f>
        <v>25187.627704033814</v>
      </c>
      <c r="J42" s="32">
        <f>IF(L26=86,L27,SUM(J41-G42)+I42)</f>
        <v>495798.56638466555</v>
      </c>
    </row>
    <row r="43" spans="5:10" ht="15.5" thickBot="1" x14ac:dyDescent="0.9">
      <c r="E43" s="10">
        <v>88</v>
      </c>
      <c r="F43" s="29">
        <v>14.4</v>
      </c>
      <c r="G43" s="11">
        <f t="shared" si="0"/>
        <v>34430.455998935104</v>
      </c>
      <c r="H43" s="12">
        <f t="shared" si="1"/>
        <v>6.9444444444444434E-2</v>
      </c>
      <c r="I43" s="11">
        <f>+J42*L28</f>
        <v>24789.92831923328</v>
      </c>
      <c r="J43" s="11">
        <f>IF(L26=87,L27,SUM(J42-G43)+I43)</f>
        <v>486158.03870496375</v>
      </c>
    </row>
    <row r="44" spans="5:10" ht="15.5" thickBot="1" x14ac:dyDescent="0.9">
      <c r="E44" s="30">
        <v>88</v>
      </c>
      <c r="F44" s="31">
        <v>13.7</v>
      </c>
      <c r="G44" s="32">
        <f t="shared" si="0"/>
        <v>35485.988226639689</v>
      </c>
      <c r="H44" s="33">
        <f t="shared" si="1"/>
        <v>7.2992700729927001E-2</v>
      </c>
      <c r="I44" s="32">
        <f>+J43*L28</f>
        <v>24307.901935248188</v>
      </c>
      <c r="J44" s="32">
        <f>IF(L26=88,L27,SUM(J43-G44)+I44)</f>
        <v>474979.95241357223</v>
      </c>
    </row>
    <row r="45" spans="5:10" ht="15.5" thickBot="1" x14ac:dyDescent="0.9">
      <c r="E45" s="10">
        <v>90</v>
      </c>
      <c r="F45" s="29">
        <v>12.9</v>
      </c>
      <c r="G45" s="11">
        <f t="shared" si="0"/>
        <v>36820.151349889318</v>
      </c>
      <c r="H45" s="12">
        <f t="shared" si="1"/>
        <v>7.7519379844961239E-2</v>
      </c>
      <c r="I45" s="11">
        <f>+J44*L28</f>
        <v>23748.997620678612</v>
      </c>
      <c r="J45" s="11">
        <f>IF(L26=89,L27,SUM(J44-G45)+I45)</f>
        <v>461908.79868436151</v>
      </c>
    </row>
    <row r="46" spans="5:10" ht="15.5" thickBot="1" x14ac:dyDescent="0.9">
      <c r="E46" s="30">
        <v>91</v>
      </c>
      <c r="F46" s="31">
        <v>12.2</v>
      </c>
      <c r="G46" s="32">
        <f t="shared" si="0"/>
        <v>37861.376941341106</v>
      </c>
      <c r="H46" s="33">
        <f t="shared" si="1"/>
        <v>8.1967213114754092E-2</v>
      </c>
      <c r="I46" s="32">
        <f>+J45*L28</f>
        <v>23095.439934218077</v>
      </c>
      <c r="J46" s="32">
        <f>IF(L26=90,L27,SUM(J45-G46)+I46)</f>
        <v>447142.86167723848</v>
      </c>
    </row>
    <row r="47" spans="5:10" ht="15.5" thickBot="1" x14ac:dyDescent="0.9">
      <c r="E47" s="10">
        <v>92</v>
      </c>
      <c r="F47" s="29">
        <v>11.5</v>
      </c>
      <c r="G47" s="11">
        <f t="shared" si="0"/>
        <v>38881.987971933784</v>
      </c>
      <c r="H47" s="12">
        <f t="shared" si="1"/>
        <v>8.6956521739130446E-2</v>
      </c>
      <c r="I47" s="11">
        <f>+J46*L28</f>
        <v>22357.143083861927</v>
      </c>
      <c r="J47" s="11">
        <f>IF(L26=91,L27,SUM(J46-G47)+I47)</f>
        <v>430618.01678916661</v>
      </c>
    </row>
    <row r="48" spans="5:10" ht="15.5" thickBot="1" x14ac:dyDescent="0.9">
      <c r="E48" s="30">
        <v>93</v>
      </c>
      <c r="F48" s="31">
        <v>10.8</v>
      </c>
      <c r="G48" s="32">
        <f t="shared" si="0"/>
        <v>39872.038591589495</v>
      </c>
      <c r="H48" s="33">
        <f t="shared" si="1"/>
        <v>9.2592592592592574E-2</v>
      </c>
      <c r="I48" s="32">
        <f>+J47*L28</f>
        <v>21530.900839458332</v>
      </c>
      <c r="J48" s="32">
        <f>IF(L26=92,L27,SUM(J47-G48)+I48)</f>
        <v>412276.87903703545</v>
      </c>
    </row>
    <row r="49" spans="5:10" ht="15.5" thickBot="1" x14ac:dyDescent="0.9">
      <c r="E49" s="10">
        <v>94</v>
      </c>
      <c r="F49" s="29">
        <v>10.1</v>
      </c>
      <c r="G49" s="11">
        <f t="shared" si="0"/>
        <v>40819.492973963905</v>
      </c>
      <c r="H49" s="12">
        <f t="shared" si="1"/>
        <v>9.9009900990099001E-2</v>
      </c>
      <c r="I49" s="11">
        <f>+J48*L28</f>
        <v>20613.843951851773</v>
      </c>
      <c r="J49" s="11">
        <f>IF(L26=93,L27,SUM(J48-G49)+I49)</f>
        <v>392071.23001492332</v>
      </c>
    </row>
    <row r="50" spans="5:10" ht="15.5" thickBot="1" x14ac:dyDescent="0.9">
      <c r="E50" s="30">
        <v>95</v>
      </c>
      <c r="F50" s="31">
        <v>9.5</v>
      </c>
      <c r="G50" s="32">
        <f t="shared" si="0"/>
        <v>41270.655791044563</v>
      </c>
      <c r="H50" s="33">
        <f t="shared" si="1"/>
        <v>0.10526315789473685</v>
      </c>
      <c r="I50" s="32">
        <f>+J49*L28</f>
        <v>19603.561500746167</v>
      </c>
      <c r="J50" s="32">
        <f>IF(L26=94,L27,SUM(J49-G50)+I50)</f>
        <v>370404.13572462491</v>
      </c>
    </row>
    <row r="51" spans="5:10" ht="15.5" thickBot="1" x14ac:dyDescent="0.9">
      <c r="E51" s="10">
        <v>96</v>
      </c>
      <c r="F51" s="29">
        <v>8.9</v>
      </c>
      <c r="G51" s="11">
        <f t="shared" si="0"/>
        <v>41618.44221624999</v>
      </c>
      <c r="H51" s="12">
        <f t="shared" si="1"/>
        <v>0.11235955056179775</v>
      </c>
      <c r="I51" s="11">
        <f>+J50*L28</f>
        <v>18520.206786231247</v>
      </c>
      <c r="J51" s="11">
        <f>IF(L26=95,L27,SUM(J50-G51)+I51)</f>
        <v>347305.90029460617</v>
      </c>
    </row>
    <row r="52" spans="5:10" ht="15.5" thickBot="1" x14ac:dyDescent="0.9">
      <c r="E52" s="30">
        <v>97</v>
      </c>
      <c r="F52" s="31">
        <v>8.4</v>
      </c>
      <c r="G52" s="32">
        <f t="shared" si="0"/>
        <v>41345.940511262634</v>
      </c>
      <c r="H52" s="33">
        <f t="shared" si="1"/>
        <v>0.11904761904761903</v>
      </c>
      <c r="I52" s="32">
        <f>+J51*L28</f>
        <v>17365.295014730309</v>
      </c>
      <c r="J52" s="32">
        <f>IF(L26=96,L27,SUM(J51-G52)+I52)</f>
        <v>323325.25479807385</v>
      </c>
    </row>
    <row r="53" spans="5:10" ht="15.5" thickBot="1" x14ac:dyDescent="0.9">
      <c r="E53" s="10">
        <v>98</v>
      </c>
      <c r="F53" s="29">
        <v>7.8</v>
      </c>
      <c r="G53" s="11">
        <f t="shared" si="0"/>
        <v>41451.955743342798</v>
      </c>
      <c r="H53" s="12">
        <f t="shared" si="1"/>
        <v>0.12820512820512819</v>
      </c>
      <c r="I53" s="11">
        <f>+J52*L28</f>
        <v>16166.262739903694</v>
      </c>
      <c r="J53" s="11">
        <f>IF(L26=97,L27,SUM(J52-G53)+I53)</f>
        <v>298039.56179463473</v>
      </c>
    </row>
    <row r="54" spans="5:10" ht="15.5" thickBot="1" x14ac:dyDescent="0.9">
      <c r="E54" s="30">
        <v>99</v>
      </c>
      <c r="F54" s="31">
        <v>7.3</v>
      </c>
      <c r="G54" s="32">
        <f t="shared" si="0"/>
        <v>40827.337232141748</v>
      </c>
      <c r="H54" s="33">
        <f t="shared" si="1"/>
        <v>0.13698630136986303</v>
      </c>
      <c r="I54" s="32">
        <f>+J53*L28</f>
        <v>14901.978089731738</v>
      </c>
      <c r="J54" s="32">
        <f>IF(L26=98,L27,SUM(J53-G54)+I54)</f>
        <v>272114.20265222469</v>
      </c>
    </row>
    <row r="55" spans="5:10" ht="15.5" thickBot="1" x14ac:dyDescent="0.9">
      <c r="E55" s="10">
        <v>100</v>
      </c>
      <c r="F55" s="29">
        <v>6.8</v>
      </c>
      <c r="G55" s="11">
        <f t="shared" si="0"/>
        <v>40016.794507680104</v>
      </c>
      <c r="H55" s="12">
        <f t="shared" si="1"/>
        <v>0.14705882352941177</v>
      </c>
      <c r="I55" s="11">
        <f>+J54*L28</f>
        <v>13605.710132611235</v>
      </c>
      <c r="J55" s="11">
        <f>IF(L26=99,L27,SUM(J54-G55)+I55)</f>
        <v>245703.11827715582</v>
      </c>
    </row>
    <row r="56" spans="5:10" ht="15.5" thickBot="1" x14ac:dyDescent="0.9">
      <c r="E56" s="30">
        <v>101</v>
      </c>
      <c r="F56" s="31">
        <v>6.4</v>
      </c>
      <c r="G56" s="32">
        <f t="shared" si="0"/>
        <v>38391.112230805593</v>
      </c>
      <c r="H56" s="33">
        <f t="shared" si="1"/>
        <v>0.15624999999999997</v>
      </c>
      <c r="I56" s="32">
        <f>+J55*L28</f>
        <v>12285.155913857792</v>
      </c>
      <c r="J56" s="32">
        <f>IF(L26=100,L27,SUM(J55-G56)+I56)</f>
        <v>219597.16196020803</v>
      </c>
    </row>
    <row r="57" spans="5:10" ht="15.5" thickBot="1" x14ac:dyDescent="0.9">
      <c r="E57" s="10">
        <v>102</v>
      </c>
      <c r="F57" s="29">
        <v>6</v>
      </c>
      <c r="G57" s="11">
        <f t="shared" si="0"/>
        <v>36599.526993368003</v>
      </c>
      <c r="H57" s="12">
        <f t="shared" si="1"/>
        <v>0.16666666666666666</v>
      </c>
      <c r="I57" s="11">
        <f>+J56*L28</f>
        <v>10979.858098010402</v>
      </c>
      <c r="J57" s="11">
        <f>IF(L26=101,L27,SUM(J56-G57)+I57)</f>
        <v>193977.49306485045</v>
      </c>
    </row>
    <row r="58" spans="5:10" ht="15.5" thickBot="1" x14ac:dyDescent="0.9">
      <c r="E58" s="30">
        <v>103</v>
      </c>
      <c r="F58" s="31">
        <v>5.6</v>
      </c>
      <c r="G58" s="32">
        <f t="shared" si="0"/>
        <v>34638.838047294725</v>
      </c>
      <c r="H58" s="33">
        <f t="shared" si="1"/>
        <v>0.17857142857142858</v>
      </c>
      <c r="I58" s="32">
        <f>+J57*L28</f>
        <v>9698.874653242523</v>
      </c>
      <c r="J58" s="32">
        <f>IF(L26=102,L27,SUM(J57-G58)+I58)</f>
        <v>169037.52967079825</v>
      </c>
    </row>
    <row r="59" spans="5:10" ht="15.5" thickBot="1" x14ac:dyDescent="0.9">
      <c r="E59" s="10">
        <v>104</v>
      </c>
      <c r="F59" s="29">
        <v>5.2</v>
      </c>
      <c r="G59" s="11">
        <f t="shared" si="0"/>
        <v>32507.217244384279</v>
      </c>
      <c r="H59" s="12">
        <f t="shared" si="1"/>
        <v>0.19230769230769232</v>
      </c>
      <c r="I59" s="11">
        <f>+J58*L28</f>
        <v>8451.8764835399124</v>
      </c>
      <c r="J59" s="11">
        <f>IF(L26=103,L27,SUM(J58-G59)+I59)</f>
        <v>144982.18890995387</v>
      </c>
    </row>
    <row r="60" spans="5:10" ht="15.5" thickBot="1" x14ac:dyDescent="0.9">
      <c r="E60" s="30">
        <v>105</v>
      </c>
      <c r="F60" s="31">
        <v>4.9000000000000004</v>
      </c>
      <c r="G60" s="32">
        <f t="shared" si="0"/>
        <v>29588.201818357931</v>
      </c>
      <c r="H60" s="33">
        <f t="shared" si="1"/>
        <v>0.20408163265306123</v>
      </c>
      <c r="I60" s="32">
        <f>+J59*L28</f>
        <v>7249.1094454976937</v>
      </c>
      <c r="J60" s="32">
        <f>IF(L26=104,L27,SUM(J59-G60)+I60)</f>
        <v>122643.09653709363</v>
      </c>
    </row>
    <row r="61" spans="5:10" ht="15.5" thickBot="1" x14ac:dyDescent="0.9">
      <c r="E61" s="10">
        <v>106</v>
      </c>
      <c r="F61" s="29">
        <v>4.5999999999999996</v>
      </c>
      <c r="G61" s="11">
        <f t="shared" si="0"/>
        <v>26661.54272545514</v>
      </c>
      <c r="H61" s="12">
        <f t="shared" si="1"/>
        <v>0.21739130434782611</v>
      </c>
      <c r="I61" s="11">
        <f>+J60*L28</f>
        <v>6132.1548268546821</v>
      </c>
      <c r="J61" s="11">
        <f>IF(L26=105,L27,SUM(J60-G61)+I61)</f>
        <v>102113.70863849318</v>
      </c>
    </row>
    <row r="62" spans="5:10" ht="15.5" thickBot="1" x14ac:dyDescent="0.9">
      <c r="E62" s="30">
        <v>107</v>
      </c>
      <c r="F62" s="31">
        <v>4.3</v>
      </c>
      <c r="G62" s="32">
        <f t="shared" si="0"/>
        <v>23747.374101975158</v>
      </c>
      <c r="H62" s="33">
        <f t="shared" si="1"/>
        <v>0.23255813953488372</v>
      </c>
      <c r="I62" s="32">
        <f>+J61*L28</f>
        <v>5105.6854319246595</v>
      </c>
      <c r="J62" s="32">
        <f>IF(L26=106,L27,SUM(J61-G62)+I62)</f>
        <v>83472.019968442677</v>
      </c>
    </row>
    <row r="63" spans="5:10" ht="15.5" thickBot="1" x14ac:dyDescent="0.9">
      <c r="E63" s="10">
        <v>108</v>
      </c>
      <c r="F63" s="29">
        <v>4.0999999999999996</v>
      </c>
      <c r="G63" s="11">
        <f t="shared" si="0"/>
        <v>20359.029260595777</v>
      </c>
      <c r="H63" s="12">
        <f t="shared" si="1"/>
        <v>0.24390243902439027</v>
      </c>
      <c r="I63" s="11">
        <f>+J62*L28</f>
        <v>4173.6009984221337</v>
      </c>
      <c r="J63" s="11">
        <f>IF(L26=107,L27,SUM(J62-G63)+I63)</f>
        <v>67286.591706269028</v>
      </c>
    </row>
    <row r="64" spans="5:10" ht="15.5" thickBot="1" x14ac:dyDescent="0.9">
      <c r="E64" s="30">
        <v>109</v>
      </c>
      <c r="F64" s="31">
        <v>3.9</v>
      </c>
      <c r="G64" s="32">
        <f t="shared" si="0"/>
        <v>17252.972232376673</v>
      </c>
      <c r="H64" s="33">
        <f t="shared" si="1"/>
        <v>0.25641025641025639</v>
      </c>
      <c r="I64" s="32">
        <f>+J63*L28</f>
        <v>3364.3295853134514</v>
      </c>
      <c r="J64" s="32">
        <f>IF(L26=108,L27,SUM(J63-G64)+I64)</f>
        <v>53397.949059205799</v>
      </c>
    </row>
    <row r="65" spans="5:10" ht="15.5" thickBot="1" x14ac:dyDescent="0.9">
      <c r="E65" s="10">
        <v>110</v>
      </c>
      <c r="F65" s="29">
        <v>3.7</v>
      </c>
      <c r="G65" s="11">
        <f t="shared" si="0"/>
        <v>14431.878124109675</v>
      </c>
      <c r="H65" s="12">
        <f t="shared" si="1"/>
        <v>0.27027027027027029</v>
      </c>
      <c r="I65" s="11">
        <f>+J64*L28</f>
        <v>2669.8974529602901</v>
      </c>
      <c r="J65" s="11">
        <f>IF(L26=109,L27,SUM(J64-G65)+I65)</f>
        <v>41635.968388056419</v>
      </c>
    </row>
    <row r="66" spans="5:10" ht="15.5" thickBot="1" x14ac:dyDescent="0.9">
      <c r="E66" s="30">
        <v>111</v>
      </c>
      <c r="F66" s="31">
        <v>3.5</v>
      </c>
      <c r="G66" s="32">
        <f t="shared" si="0"/>
        <v>11895.99096801612</v>
      </c>
      <c r="H66" s="33">
        <f t="shared" si="1"/>
        <v>0.2857142857142857</v>
      </c>
      <c r="I66" s="32">
        <f>+J65*L28</f>
        <v>2081.7984194028209</v>
      </c>
      <c r="J66" s="32">
        <f>IF(L26=110,L27,SUM(J65-G66)+I66)</f>
        <v>31821.775839443118</v>
      </c>
    </row>
    <row r="67" spans="5:10" ht="15.5" thickBot="1" x14ac:dyDescent="0.9">
      <c r="E67" s="10">
        <v>112</v>
      </c>
      <c r="F67" s="29">
        <v>3.4</v>
      </c>
      <c r="G67" s="11">
        <f t="shared" si="0"/>
        <v>9359.3458351303289</v>
      </c>
      <c r="H67" s="12">
        <f t="shared" si="1"/>
        <v>0.29411764705882354</v>
      </c>
      <c r="I67" s="11">
        <f>+J66*L28</f>
        <v>1591.0887919721561</v>
      </c>
      <c r="J67" s="11">
        <f>IF(L26=111,L27,SUM(J66-G67)+I67)</f>
        <v>24053.518796284945</v>
      </c>
    </row>
    <row r="68" spans="5:10" ht="15.5" thickBot="1" x14ac:dyDescent="0.9">
      <c r="E68" s="30">
        <v>113</v>
      </c>
      <c r="F68" s="31">
        <v>3.3</v>
      </c>
      <c r="G68" s="32">
        <f t="shared" si="0"/>
        <v>7288.9450897833167</v>
      </c>
      <c r="H68" s="33">
        <f t="shared" si="1"/>
        <v>0.30303030303030304</v>
      </c>
      <c r="I68" s="32">
        <f>+J67*L28</f>
        <v>1202.6759398142474</v>
      </c>
      <c r="J68" s="32">
        <f>IF(L26=112,L27,SUM(J67-G68)+I68)</f>
        <v>17967.249646315875</v>
      </c>
    </row>
    <row r="69" spans="5:10" ht="15.5" thickBot="1" x14ac:dyDescent="0.9">
      <c r="E69" s="10">
        <v>114</v>
      </c>
      <c r="F69" s="29">
        <v>3.1</v>
      </c>
      <c r="G69" s="11">
        <f t="shared" si="0"/>
        <v>5795.8869826825403</v>
      </c>
      <c r="H69" s="12">
        <f t="shared" si="1"/>
        <v>0.32258064516129031</v>
      </c>
      <c r="I69" s="11">
        <f>+J68*L28</f>
        <v>898.36248231579384</v>
      </c>
      <c r="J69" s="11">
        <f>IF(L26=113,L27,SUM(J68-G69)+I69)</f>
        <v>13069.725145949129</v>
      </c>
    </row>
    <row r="70" spans="5:10" ht="15.5" thickBot="1" x14ac:dyDescent="0.9">
      <c r="E70" s="30">
        <v>115</v>
      </c>
      <c r="F70" s="31">
        <v>3</v>
      </c>
      <c r="G70" s="32">
        <f t="shared" si="0"/>
        <v>4356.57504864971</v>
      </c>
      <c r="H70" s="33">
        <f t="shared" si="1"/>
        <v>0.33333333333333337</v>
      </c>
      <c r="I70" s="32">
        <f>+J69*L28</f>
        <v>653.48625729745652</v>
      </c>
      <c r="J70" s="32">
        <f>IF(L26=114,L27,SUM(J69-G70)+I70)</f>
        <v>9366.6363545968743</v>
      </c>
    </row>
    <row r="71" spans="5:10" ht="15.5" thickBot="1" x14ac:dyDescent="0.9">
      <c r="E71" s="10">
        <v>116</v>
      </c>
      <c r="F71" s="29">
        <v>2.9</v>
      </c>
      <c r="G71" s="11">
        <f t="shared" si="0"/>
        <v>3229.8746050334048</v>
      </c>
      <c r="H71" s="12">
        <f t="shared" si="1"/>
        <v>0.34482758620689652</v>
      </c>
      <c r="I71" s="11">
        <f>+J70*L28</f>
        <v>468.33181772984375</v>
      </c>
      <c r="J71" s="11">
        <f>IF(L26=115,L27,SUM(J70-G71)+I71)</f>
        <v>6605.0935672933128</v>
      </c>
    </row>
    <row r="72" spans="5:10" ht="15.5" thickBot="1" x14ac:dyDescent="0.9">
      <c r="E72" s="30">
        <v>117</v>
      </c>
      <c r="F72" s="31">
        <v>2.8</v>
      </c>
      <c r="G72" s="32">
        <f t="shared" si="0"/>
        <v>2358.9619883190403</v>
      </c>
      <c r="H72" s="33">
        <f t="shared" si="1"/>
        <v>0.35714285714285715</v>
      </c>
      <c r="I72" s="32">
        <f>+J71*L28</f>
        <v>330.25467836466566</v>
      </c>
      <c r="J72" s="32">
        <f>IF(L26=116,L27,SUM(J71-G72)+I72)</f>
        <v>4576.3862573389388</v>
      </c>
    </row>
    <row r="73" spans="5:10" ht="15.5" thickBot="1" x14ac:dyDescent="0.9">
      <c r="E73" s="10">
        <v>118</v>
      </c>
      <c r="F73" s="13">
        <v>2.7</v>
      </c>
      <c r="G73" s="11">
        <f t="shared" si="0"/>
        <v>1694.9578730884957</v>
      </c>
      <c r="H73" s="12">
        <f t="shared" si="1"/>
        <v>0.37037037037037035</v>
      </c>
      <c r="I73" s="11">
        <f>+J72*L28</f>
        <v>228.81931286694694</v>
      </c>
      <c r="J73" s="11">
        <f>SUM(J72-G73)</f>
        <v>2881.4283842504428</v>
      </c>
    </row>
    <row r="74" spans="5:10" ht="15.5" thickBot="1" x14ac:dyDescent="0.9">
      <c r="E74" s="30">
        <v>119</v>
      </c>
      <c r="F74" s="31">
        <v>2.5</v>
      </c>
      <c r="G74" s="32">
        <f>+J73/F74</f>
        <v>1152.571353700177</v>
      </c>
      <c r="H74" s="33">
        <f t="shared" si="1"/>
        <v>0.39999999999999997</v>
      </c>
      <c r="I74" s="32">
        <f>+J73*L28</f>
        <v>144.07141921252216</v>
      </c>
      <c r="J74" s="32">
        <f>IF(L28=116,L29,SUM(J73-G74)+I74)</f>
        <v>1872.928449762788</v>
      </c>
    </row>
    <row r="75" spans="5:10" ht="15.5" thickBot="1" x14ac:dyDescent="0.9">
      <c r="E75" s="10">
        <v>120</v>
      </c>
      <c r="F75" s="13">
        <v>2.2999999999999998</v>
      </c>
      <c r="G75" s="11">
        <f t="shared" si="0"/>
        <v>814.31671728816877</v>
      </c>
      <c r="H75" s="12">
        <f t="shared" si="1"/>
        <v>0.43478260869565222</v>
      </c>
      <c r="I75" s="11">
        <f>+J74*L28</f>
        <v>93.646422488139407</v>
      </c>
      <c r="J75" s="11">
        <f>IF(L30=115,L31,SUM(J74-G75)+I75)</f>
        <v>1152.2581549627587</v>
      </c>
    </row>
    <row r="76" spans="5:10" ht="26.75" thickBot="1" x14ac:dyDescent="0.9">
      <c r="E76" s="30" t="s">
        <v>26</v>
      </c>
      <c r="F76" s="31">
        <v>2</v>
      </c>
      <c r="G76" s="32">
        <f>+J75/F76</f>
        <v>576.12907748137934</v>
      </c>
      <c r="H76" s="33">
        <f t="shared" si="1"/>
        <v>0.5</v>
      </c>
      <c r="I76" s="32">
        <f>+J75*L28</f>
        <v>57.612907748137935</v>
      </c>
      <c r="J76" s="32">
        <f>IF(L30=116,L31,SUM(J75-G76)+I76)</f>
        <v>633.74198522951724</v>
      </c>
    </row>
  </sheetData>
  <mergeCells count="17">
    <mergeCell ref="M26:O26"/>
    <mergeCell ref="J25:J27"/>
    <mergeCell ref="E25:E27"/>
    <mergeCell ref="F25:F27"/>
    <mergeCell ref="G25:G27"/>
    <mergeCell ref="H25:H27"/>
    <mergeCell ref="I25:I27"/>
    <mergeCell ref="L25:N25"/>
    <mergeCell ref="B21:N21"/>
    <mergeCell ref="B9:N9"/>
    <mergeCell ref="B10:N10"/>
    <mergeCell ref="B2:N2"/>
    <mergeCell ref="B7:N8"/>
    <mergeCell ref="B16:N19"/>
    <mergeCell ref="B12:N14"/>
    <mergeCell ref="B3:O3"/>
    <mergeCell ref="B5:O5"/>
  </mergeCells>
  <conditionalFormatting sqref="E28:J28 E30:J30">
    <cfRule type="expression" dxfId="48" priority="181">
      <formula>$L$26&gt;$E$30</formula>
    </cfRule>
  </conditionalFormatting>
  <conditionalFormatting sqref="E29:J29">
    <cfRule type="expression" dxfId="47" priority="180">
      <formula>$L$26&gt;$E$29</formula>
    </cfRule>
  </conditionalFormatting>
  <conditionalFormatting sqref="E31:J31">
    <cfRule type="expression" dxfId="46" priority="182">
      <formula>$L$26&gt;$E$31</formula>
    </cfRule>
  </conditionalFormatting>
  <conditionalFormatting sqref="E32:J32">
    <cfRule type="expression" dxfId="45" priority="183">
      <formula>$L$26&gt;$E$32</formula>
    </cfRule>
  </conditionalFormatting>
  <conditionalFormatting sqref="E33:J33">
    <cfRule type="expression" dxfId="44" priority="184">
      <formula>$L$26&gt;$E$33</formula>
    </cfRule>
  </conditionalFormatting>
  <conditionalFormatting sqref="E34:J34">
    <cfRule type="expression" dxfId="43" priority="152">
      <formula>$L$26&gt;$E$34</formula>
    </cfRule>
  </conditionalFormatting>
  <conditionalFormatting sqref="E35:J35">
    <cfRule type="expression" dxfId="42" priority="151">
      <formula>$L$26&gt;$E$35</formula>
    </cfRule>
  </conditionalFormatting>
  <conditionalFormatting sqref="E36:J36">
    <cfRule type="expression" dxfId="41" priority="150">
      <formula>$L$26&gt;$E$36</formula>
    </cfRule>
  </conditionalFormatting>
  <conditionalFormatting sqref="E37:J37">
    <cfRule type="expression" dxfId="40" priority="149">
      <formula>$L$26&gt;$E$37</formula>
    </cfRule>
  </conditionalFormatting>
  <conditionalFormatting sqref="E38:J38">
    <cfRule type="expression" dxfId="39" priority="148">
      <formula>$L$26&gt;$E$38</formula>
    </cfRule>
  </conditionalFormatting>
  <conditionalFormatting sqref="E39:J39">
    <cfRule type="expression" dxfId="38" priority="147">
      <formula>$L$26&gt;$E$39</formula>
    </cfRule>
  </conditionalFormatting>
  <conditionalFormatting sqref="E40:J40">
    <cfRule type="expression" dxfId="37" priority="146">
      <formula>$L$26&gt;$E$40</formula>
    </cfRule>
  </conditionalFormatting>
  <conditionalFormatting sqref="E41:J41">
    <cfRule type="expression" dxfId="36" priority="144">
      <formula>$L$26&gt;$E41</formula>
    </cfRule>
  </conditionalFormatting>
  <conditionalFormatting sqref="E42:J42">
    <cfRule type="expression" dxfId="35" priority="143">
      <formula>$L$26&gt;$E$42</formula>
    </cfRule>
  </conditionalFormatting>
  <conditionalFormatting sqref="E43:J43">
    <cfRule type="expression" dxfId="34" priority="142">
      <formula>$L$26&gt;$E$43</formula>
    </cfRule>
  </conditionalFormatting>
  <conditionalFormatting sqref="E44:J44">
    <cfRule type="expression" dxfId="33" priority="141">
      <formula>$L$26&gt;$E$44</formula>
    </cfRule>
  </conditionalFormatting>
  <conditionalFormatting sqref="E45:J45">
    <cfRule type="expression" dxfId="32" priority="140">
      <formula>$L$26&gt;$E$45</formula>
    </cfRule>
  </conditionalFormatting>
  <conditionalFormatting sqref="E46:J46">
    <cfRule type="expression" dxfId="31" priority="139">
      <formula>$L$26&gt;$E$46</formula>
    </cfRule>
  </conditionalFormatting>
  <conditionalFormatting sqref="E47:J47">
    <cfRule type="expression" dxfId="30" priority="138">
      <formula>$L$26&gt;$E$47</formula>
    </cfRule>
  </conditionalFormatting>
  <conditionalFormatting sqref="E48:J48">
    <cfRule type="expression" dxfId="29" priority="137">
      <formula>$L$26&gt;$E$48</formula>
    </cfRule>
  </conditionalFormatting>
  <conditionalFormatting sqref="E49:J49">
    <cfRule type="expression" dxfId="28" priority="135">
      <formula>$L$26&gt;$E$49</formula>
    </cfRule>
  </conditionalFormatting>
  <conditionalFormatting sqref="E50:J50">
    <cfRule type="expression" dxfId="27" priority="134">
      <formula>$L$26&gt;$E$50</formula>
    </cfRule>
  </conditionalFormatting>
  <conditionalFormatting sqref="E51:J51">
    <cfRule type="expression" dxfId="26" priority="133">
      <formula>$L$26&gt;$E$51</formula>
    </cfRule>
  </conditionalFormatting>
  <conditionalFormatting sqref="E52:J52">
    <cfRule type="expression" dxfId="25" priority="132">
      <formula>$L$26&gt;$E$52</formula>
    </cfRule>
  </conditionalFormatting>
  <conditionalFormatting sqref="E53:J53">
    <cfRule type="expression" dxfId="24" priority="131">
      <formula>$L$26&gt;$E$53</formula>
    </cfRule>
  </conditionalFormatting>
  <conditionalFormatting sqref="E54:J54">
    <cfRule type="expression" dxfId="23" priority="130">
      <formula>$L$26&gt;$E$54</formula>
    </cfRule>
  </conditionalFormatting>
  <conditionalFormatting sqref="E55:J55">
    <cfRule type="expression" dxfId="22" priority="129">
      <formula>$L$26&gt;$E$55</formula>
    </cfRule>
  </conditionalFormatting>
  <conditionalFormatting sqref="E56:J56">
    <cfRule type="expression" dxfId="21" priority="128">
      <formula>$L$26&gt;$E$56</formula>
    </cfRule>
  </conditionalFormatting>
  <conditionalFormatting sqref="E57:J57">
    <cfRule type="expression" dxfId="20" priority="127">
      <formula>$L$26&gt;$E$57</formula>
    </cfRule>
  </conditionalFormatting>
  <conditionalFormatting sqref="E58:J58">
    <cfRule type="expression" dxfId="19" priority="125">
      <formula>$L$26&gt;$E$58</formula>
    </cfRule>
  </conditionalFormatting>
  <conditionalFormatting sqref="E59:J59">
    <cfRule type="expression" dxfId="18" priority="126">
      <formula>$L$26&gt;$E$59</formula>
    </cfRule>
  </conditionalFormatting>
  <conditionalFormatting sqref="E60:J60">
    <cfRule type="expression" dxfId="17" priority="124">
      <formula>$L$26&gt;$E$60</formula>
    </cfRule>
  </conditionalFormatting>
  <conditionalFormatting sqref="E61:J61">
    <cfRule type="expression" dxfId="16" priority="123">
      <formula>$L$26&gt;$E$61</formula>
    </cfRule>
  </conditionalFormatting>
  <conditionalFormatting sqref="E62:J62">
    <cfRule type="expression" dxfId="15" priority="122">
      <formula>$L$26&gt;$E$62</formula>
    </cfRule>
  </conditionalFormatting>
  <conditionalFormatting sqref="E63:J63">
    <cfRule type="expression" dxfId="14" priority="121">
      <formula>$L$26&gt;$E$63</formula>
    </cfRule>
  </conditionalFormatting>
  <conditionalFormatting sqref="E64:J64">
    <cfRule type="expression" dxfId="13" priority="120">
      <formula>$L$26&gt;$E$64</formula>
    </cfRule>
  </conditionalFormatting>
  <conditionalFormatting sqref="E65:J65">
    <cfRule type="expression" dxfId="12" priority="119">
      <formula>$L$26&gt;$E$65</formula>
    </cfRule>
  </conditionalFormatting>
  <conditionalFormatting sqref="E66:J66">
    <cfRule type="expression" dxfId="11" priority="118">
      <formula>$L$26&gt;$E$66</formula>
    </cfRule>
  </conditionalFormatting>
  <conditionalFormatting sqref="E67:J67">
    <cfRule type="expression" dxfId="10" priority="117">
      <formula>$L$26&gt;$E$67</formula>
    </cfRule>
  </conditionalFormatting>
  <conditionalFormatting sqref="E68:J68">
    <cfRule type="expression" dxfId="9" priority="116">
      <formula>$L$26&gt;$E$68</formula>
    </cfRule>
  </conditionalFormatting>
  <conditionalFormatting sqref="E69:J69">
    <cfRule type="expression" dxfId="8" priority="115">
      <formula>$L$26&gt;$E$69</formula>
    </cfRule>
  </conditionalFormatting>
  <conditionalFormatting sqref="E70:J70">
    <cfRule type="expression" dxfId="7" priority="114">
      <formula>$L$26&gt;$E$70</formula>
    </cfRule>
  </conditionalFormatting>
  <conditionalFormatting sqref="E71:J71">
    <cfRule type="expression" dxfId="6" priority="15">
      <formula>$L$26&gt;115</formula>
    </cfRule>
  </conditionalFormatting>
  <conditionalFormatting sqref="E72:J72 E74:J74 E76:H76 J76">
    <cfRule type="expression" dxfId="5" priority="112">
      <formula>$L$26&gt;$E$72</formula>
    </cfRule>
  </conditionalFormatting>
  <conditionalFormatting sqref="G73">
    <cfRule type="expression" dxfId="4" priority="7">
      <formula>$L$26&gt;115</formula>
    </cfRule>
  </conditionalFormatting>
  <conditionalFormatting sqref="G75">
    <cfRule type="expression" dxfId="3" priority="1">
      <formula>$L$26&gt;115</formula>
    </cfRule>
  </conditionalFormatting>
  <conditionalFormatting sqref="I73">
    <cfRule type="expression" dxfId="2" priority="4">
      <formula>$L$26&gt;115</formula>
    </cfRule>
  </conditionalFormatting>
  <conditionalFormatting sqref="I76">
    <cfRule type="expression" dxfId="1" priority="2">
      <formula>$L$26&gt;$E$70</formula>
    </cfRule>
  </conditionalFormatting>
  <conditionalFormatting sqref="I75:J75">
    <cfRule type="expression" dxfId="0" priority="3">
      <formula>$L$26&gt;115</formula>
    </cfRule>
  </conditionalFormatting>
  <hyperlinks>
    <hyperlink ref="I4" r:id="rId1" xr:uid="{00000000-0004-0000-0000-000000000000}"/>
  </hyperlinks>
  <pageMargins left="0.45" right="0" top="0.2" bottom="0.2" header="0" footer="0"/>
  <pageSetup scale="65" orientation="portrait" r:id="rId2"/>
  <ignoredErrors>
    <ignoredError sqref="H28 J73 J7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75" x14ac:dyDescent="0.7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75" x14ac:dyDescent="0.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B. Goldhamer</dc:creator>
  <cp:lastModifiedBy>John Goldhamer</cp:lastModifiedBy>
  <cp:lastPrinted>2022-01-22T17:25:29Z</cp:lastPrinted>
  <dcterms:created xsi:type="dcterms:W3CDTF">2017-09-13T15:37:03Z</dcterms:created>
  <dcterms:modified xsi:type="dcterms:W3CDTF">2023-06-18T17:28:07Z</dcterms:modified>
</cp:coreProperties>
</file>